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00" windowWidth="19440" windowHeight="9480" activeTab="3"/>
  </bookViews>
  <sheets>
    <sheet name="1 кв." sheetId="1" r:id="rId1"/>
    <sheet name="2 кв. " sheetId="6" r:id="rId2"/>
    <sheet name="3 кв." sheetId="7" r:id="rId3"/>
    <sheet name="4 кв. " sheetId="8" r:id="rId4"/>
    <sheet name="3 кв. 2016" sheetId="3" state="hidden" r:id="rId5"/>
    <sheet name="4 кв. 2-016" sheetId="5" state="hidden" r:id="rId6"/>
  </sheets>
  <definedNames>
    <definedName name="_xlnm.Print_Area" localSheetId="0">'1 кв.'!$A$1:$K$17</definedName>
    <definedName name="_xlnm.Print_Area" localSheetId="1">'2 кв. '!$A$1:$K$17</definedName>
    <definedName name="_xlnm.Print_Area" localSheetId="2">'3 кв.'!$A$1:$K$17</definedName>
    <definedName name="_xlnm.Print_Area" localSheetId="3">'4 кв. '!$A$1:$K$17</definedName>
  </definedNames>
  <calcPr calcId="145621"/>
</workbook>
</file>

<file path=xl/calcChain.xml><?xml version="1.0" encoding="utf-8"?>
<calcChain xmlns="http://schemas.openxmlformats.org/spreadsheetml/2006/main">
  <c r="K6" i="8" l="1"/>
  <c r="K17" i="8"/>
  <c r="I17" i="8"/>
  <c r="G17" i="8"/>
  <c r="J16" i="8"/>
  <c r="K16" i="8" s="1"/>
  <c r="H16" i="8"/>
  <c r="I16" i="8" s="1"/>
  <c r="F16" i="8"/>
  <c r="G16" i="8" s="1"/>
  <c r="J15" i="8"/>
  <c r="K15" i="8" s="1"/>
  <c r="H15" i="8"/>
  <c r="I15" i="8" s="1"/>
  <c r="F15" i="8"/>
  <c r="G15" i="8" s="1"/>
  <c r="J14" i="8"/>
  <c r="K14" i="8" s="1"/>
  <c r="H14" i="8"/>
  <c r="I14" i="8" s="1"/>
  <c r="F14" i="8"/>
  <c r="G14" i="8" s="1"/>
  <c r="K13" i="8"/>
  <c r="I13" i="8"/>
  <c r="K12" i="8"/>
  <c r="I12" i="8"/>
  <c r="G12" i="8"/>
  <c r="K11" i="8"/>
  <c r="I11" i="8"/>
  <c r="G11" i="8"/>
  <c r="K10" i="8"/>
  <c r="I10" i="8"/>
  <c r="G10" i="8"/>
  <c r="K9" i="8"/>
  <c r="I9" i="8"/>
  <c r="G9" i="8"/>
  <c r="K8" i="8"/>
  <c r="I8" i="8"/>
  <c r="G8" i="8"/>
  <c r="K7" i="8"/>
  <c r="I7" i="8"/>
  <c r="G7" i="8"/>
  <c r="I6" i="8"/>
  <c r="G6" i="8"/>
  <c r="K17" i="7" l="1"/>
  <c r="I17" i="7"/>
  <c r="G17" i="7"/>
  <c r="J16" i="7"/>
  <c r="K16" i="7" s="1"/>
  <c r="H16" i="7"/>
  <c r="I16" i="7" s="1"/>
  <c r="G16" i="7"/>
  <c r="F16" i="7"/>
  <c r="K15" i="7"/>
  <c r="J15" i="7"/>
  <c r="I15" i="7"/>
  <c r="H15" i="7"/>
  <c r="G15" i="7"/>
  <c r="F15" i="7"/>
  <c r="K14" i="7"/>
  <c r="J14" i="7"/>
  <c r="I14" i="7"/>
  <c r="H14" i="7"/>
  <c r="G14" i="7"/>
  <c r="F14" i="7"/>
  <c r="K13" i="7"/>
  <c r="I13" i="7"/>
  <c r="K12" i="7"/>
  <c r="I12" i="7"/>
  <c r="G12" i="7"/>
  <c r="K11" i="7"/>
  <c r="I11" i="7"/>
  <c r="G11" i="7"/>
  <c r="K10" i="7"/>
  <c r="I10" i="7"/>
  <c r="G10" i="7"/>
  <c r="K9" i="7"/>
  <c r="I9" i="7"/>
  <c r="G9" i="7"/>
  <c r="K8" i="7"/>
  <c r="I8" i="7"/>
  <c r="G8" i="7"/>
  <c r="K7" i="7"/>
  <c r="I7" i="7"/>
  <c r="G7" i="7"/>
  <c r="K6" i="7"/>
  <c r="I6" i="7"/>
  <c r="G6" i="7"/>
  <c r="K17" i="6" l="1"/>
  <c r="I17" i="6"/>
  <c r="G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I13" i="6"/>
  <c r="K12" i="6"/>
  <c r="I12" i="6"/>
  <c r="G12" i="6"/>
  <c r="K11" i="6"/>
  <c r="I11" i="6"/>
  <c r="G11" i="6"/>
  <c r="K10" i="6"/>
  <c r="I10" i="6"/>
  <c r="G10" i="6"/>
  <c r="K9" i="6"/>
  <c r="I9" i="6"/>
  <c r="G9" i="6"/>
  <c r="K8" i="6"/>
  <c r="I8" i="6"/>
  <c r="G8" i="6"/>
  <c r="K7" i="6"/>
  <c r="I7" i="6"/>
  <c r="G7" i="6"/>
  <c r="K6" i="6"/>
  <c r="I6" i="6"/>
  <c r="G6" i="6"/>
  <c r="J6" i="1" l="1"/>
  <c r="H6" i="1"/>
  <c r="F6" i="1"/>
  <c r="J16" i="1"/>
  <c r="H16" i="1"/>
  <c r="F16" i="1"/>
  <c r="J15" i="1"/>
  <c r="H15" i="1"/>
  <c r="F15" i="1"/>
  <c r="J14" i="1"/>
  <c r="H14" i="1"/>
  <c r="F14" i="1"/>
  <c r="K19" i="5" l="1"/>
  <c r="K18" i="5"/>
  <c r="K17" i="5"/>
  <c r="K16" i="5"/>
  <c r="K15" i="5"/>
  <c r="K14" i="5"/>
  <c r="K12" i="5"/>
  <c r="K11" i="5"/>
  <c r="K6" i="5"/>
  <c r="H19" i="5" l="1"/>
  <c r="H18" i="5"/>
  <c r="H17" i="5"/>
  <c r="H16" i="5"/>
  <c r="H15" i="5"/>
  <c r="H14" i="5"/>
  <c r="H12" i="5"/>
  <c r="H11" i="5"/>
  <c r="H6" i="5"/>
  <c r="E17" i="5" l="1"/>
  <c r="E6" i="5"/>
  <c r="E16" i="5"/>
  <c r="E15" i="5"/>
  <c r="E19" i="5"/>
  <c r="E18" i="5"/>
  <c r="E14" i="5"/>
  <c r="E11" i="5"/>
  <c r="E12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F14" i="5"/>
  <c r="L12" i="5"/>
  <c r="I12" i="5"/>
  <c r="F12" i="5"/>
  <c r="L11" i="5"/>
  <c r="I11" i="5"/>
  <c r="F11" i="5"/>
  <c r="L6" i="5"/>
  <c r="I6" i="5"/>
  <c r="F6" i="5"/>
  <c r="K19" i="3"/>
  <c r="K18" i="3"/>
  <c r="K14" i="3"/>
  <c r="K11" i="3"/>
  <c r="K12" i="3"/>
  <c r="K17" i="3"/>
  <c r="K6" i="3"/>
  <c r="L6" i="3"/>
  <c r="K16" i="3"/>
  <c r="K15" i="3"/>
  <c r="L19" i="3"/>
  <c r="L18" i="3"/>
  <c r="L17" i="3"/>
  <c r="L16" i="3"/>
  <c r="L15" i="3"/>
  <c r="L14" i="3"/>
  <c r="L12" i="3"/>
  <c r="L11" i="3"/>
  <c r="I19" i="3"/>
  <c r="I18" i="3"/>
  <c r="I17" i="3"/>
  <c r="I16" i="3"/>
  <c r="I15" i="3"/>
  <c r="I14" i="3"/>
  <c r="I12" i="3"/>
  <c r="I11" i="3"/>
  <c r="I6" i="3"/>
  <c r="F19" i="3"/>
  <c r="F18" i="3"/>
  <c r="F17" i="3"/>
  <c r="F16" i="3"/>
  <c r="F15" i="3"/>
  <c r="F14" i="3"/>
  <c r="F12" i="3"/>
  <c r="F11" i="3"/>
  <c r="F6" i="3"/>
  <c r="H19" i="3"/>
  <c r="H18" i="3"/>
  <c r="H14" i="3"/>
  <c r="H11" i="3"/>
  <c r="H12" i="3"/>
  <c r="K11" i="1"/>
  <c r="H6" i="3"/>
  <c r="H17" i="3"/>
  <c r="H16" i="3"/>
  <c r="H15" i="3"/>
  <c r="E14" i="3"/>
  <c r="E19" i="3"/>
  <c r="E18" i="3"/>
  <c r="E11" i="3"/>
  <c r="E12" i="3"/>
  <c r="E17" i="3"/>
  <c r="E6" i="3"/>
  <c r="E16" i="3"/>
  <c r="E15" i="3"/>
  <c r="K16" i="1"/>
  <c r="G16" i="1"/>
  <c r="K12" i="1"/>
  <c r="K14" i="1"/>
  <c r="I14" i="1"/>
  <c r="G14" i="1"/>
  <c r="K17" i="1"/>
  <c r="K6" i="1"/>
  <c r="I11" i="1"/>
  <c r="I12" i="1"/>
  <c r="I17" i="1"/>
  <c r="I6" i="1"/>
  <c r="K15" i="1"/>
  <c r="K13" i="1"/>
  <c r="I16" i="1"/>
  <c r="I13" i="1"/>
  <c r="I10" i="1"/>
  <c r="I9" i="1"/>
  <c r="I8" i="1"/>
  <c r="I7" i="1"/>
  <c r="I15" i="1"/>
  <c r="K10" i="1"/>
  <c r="K9" i="1"/>
  <c r="K8" i="1"/>
  <c r="K7" i="1"/>
  <c r="G6" i="1"/>
  <c r="G15" i="1"/>
  <c r="G10" i="1"/>
  <c r="G9" i="1"/>
  <c r="G8" i="1"/>
  <c r="G7" i="1"/>
  <c r="G17" i="1"/>
  <c r="G12" i="1"/>
  <c r="G11" i="1"/>
</calcChain>
</file>

<file path=xl/sharedStrings.xml><?xml version="1.0" encoding="utf-8"?>
<sst xmlns="http://schemas.openxmlformats.org/spreadsheetml/2006/main" count="306" uniqueCount="61">
  <si>
    <t>1</t>
  </si>
  <si>
    <t>КТП-1058</t>
  </si>
  <si>
    <t>2</t>
  </si>
  <si>
    <t>ТП-1336</t>
  </si>
  <si>
    <t>3</t>
  </si>
  <si>
    <t xml:space="preserve">КТП-2 </t>
  </si>
  <si>
    <t>4</t>
  </si>
  <si>
    <t>КТП-1</t>
  </si>
  <si>
    <t>5</t>
  </si>
  <si>
    <t>КТП-1А</t>
  </si>
  <si>
    <t>6</t>
  </si>
  <si>
    <t>ТП-2032</t>
  </si>
  <si>
    <t>7</t>
  </si>
  <si>
    <t>ТП-1548</t>
  </si>
  <si>
    <t>8</t>
  </si>
  <si>
    <t>ТП-1548А</t>
  </si>
  <si>
    <t>9</t>
  </si>
  <si>
    <t>ТП-1062</t>
  </si>
  <si>
    <t>10</t>
  </si>
  <si>
    <t>12</t>
  </si>
  <si>
    <t>ТП-1192</t>
  </si>
  <si>
    <t>ТП-0135</t>
  </si>
  <si>
    <t>14</t>
  </si>
  <si>
    <t>ТП-1987</t>
  </si>
  <si>
    <t>№
п.п</t>
  </si>
  <si>
    <t>Объект</t>
  </si>
  <si>
    <t>Установленная мощность, кВА</t>
  </si>
  <si>
    <t>Максимальная мощность, кВт</t>
  </si>
  <si>
    <t>Фактически использованная мощность, кВт</t>
  </si>
  <si>
    <t>Резерв максимальной мощности, кВт</t>
  </si>
  <si>
    <t>СПРАВКА</t>
  </si>
  <si>
    <t>2х320</t>
  </si>
  <si>
    <t>2х400</t>
  </si>
  <si>
    <t>2х630</t>
  </si>
  <si>
    <t>Наличие возможности ТП</t>
  </si>
  <si>
    <t>ТП-1174, ТП-1174-1</t>
  </si>
  <si>
    <t>2х630, 2х400</t>
  </si>
  <si>
    <t>только после реконструкции ТП</t>
  </si>
  <si>
    <t>Резерв мощности для ТП, кВт</t>
  </si>
  <si>
    <t>апрель</t>
  </si>
  <si>
    <t>июнь</t>
  </si>
  <si>
    <t>май</t>
  </si>
  <si>
    <t>15</t>
  </si>
  <si>
    <t>январь</t>
  </si>
  <si>
    <t>февраль</t>
  </si>
  <si>
    <t>март</t>
  </si>
  <si>
    <t>июль</t>
  </si>
  <si>
    <t>август</t>
  </si>
  <si>
    <t>сентябрь</t>
  </si>
  <si>
    <t>ТП-1130</t>
  </si>
  <si>
    <t>1*1000,2х320</t>
  </si>
  <si>
    <t>о величине свободной (резервируемой) мощности по подстанциям ООО "ДСК" в 4-м кв. 2016 г</t>
  </si>
  <si>
    <t>о величине свободной (резервируемой) мощности по подстанциям ООО "ДСК" в 3-м кв. 2016 г</t>
  </si>
  <si>
    <t>октябрь</t>
  </si>
  <si>
    <t>ноябрь</t>
  </si>
  <si>
    <t>декабрь</t>
  </si>
  <si>
    <t>Уровень напряжения, кВ</t>
  </si>
  <si>
    <t>о величине свободной (резервируемой) мощности по подстанциям ООО "ДСК" в 2 кв. 2017 г</t>
  </si>
  <si>
    <t>о величине свободной (резервируемой) мощности по подстанциям ООО "ДСК" в 1 кв. 2017 г</t>
  </si>
  <si>
    <t>о величине свободной (резервируемой) мощности по подстанциям ООО "ДСК" в 3 кв. 2017 г</t>
  </si>
  <si>
    <t>о величине свободной (резервируемой) мощности по подстанциям ООО "ДСК" в 4 кв. 2017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</si>
</sst>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7"/>
  <sheetViews>
    <sheetView view="pageBreakPreview" zoomScaleNormal="80" zoomScaleSheetLayoutView="100" workbookViewId="0">
      <selection activeCell="C32" sqref="C32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43</v>
      </c>
      <c r="G5" s="25"/>
      <c r="H5" s="26" t="s">
        <v>44</v>
      </c>
      <c r="I5" s="27"/>
      <c r="J5" s="28" t="s">
        <v>45</v>
      </c>
      <c r="K5" s="29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f>178133/744*3</f>
        <v>718.2782258064517</v>
      </c>
      <c r="G6" s="17">
        <f>E6-F6</f>
        <v>1751.7217741935483</v>
      </c>
      <c r="H6" s="17">
        <f>148196/672*3</f>
        <v>661.58928571428567</v>
      </c>
      <c r="I6" s="17">
        <f>$E6-H6</f>
        <v>1808.4107142857142</v>
      </c>
      <c r="J6" s="17">
        <f>156936/744*3</f>
        <v>632.80645161290317</v>
      </c>
      <c r="K6" s="17">
        <f>E6-J6</f>
        <v>1837.1935483870968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23"/>
      <c r="I7" s="21" t="e">
        <f>#REF!-H7</f>
        <v>#REF!</v>
      </c>
      <c r="J7" s="23"/>
      <c r="K7" s="2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23"/>
      <c r="I8" s="21" t="e">
        <f>#REF!-H8</f>
        <v>#REF!</v>
      </c>
      <c r="J8" s="23"/>
      <c r="K8" s="2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23"/>
      <c r="I9" s="21" t="e">
        <f>#REF!-H9</f>
        <v>#REF!</v>
      </c>
      <c r="J9" s="23"/>
      <c r="K9" s="2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18"/>
      <c r="I10" s="19" t="e">
        <f>#REF!-H10</f>
        <v>#REF!</v>
      </c>
      <c r="J10" s="18"/>
      <c r="K10" s="19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399</v>
      </c>
      <c r="G11" s="10">
        <f>E11-F11</f>
        <v>1101</v>
      </c>
      <c r="H11" s="10">
        <v>346</v>
      </c>
      <c r="I11" s="10">
        <f t="shared" ref="I11" si="1">$E11-H11</f>
        <v>1154</v>
      </c>
      <c r="J11" s="10">
        <v>338</v>
      </c>
      <c r="K11" s="10">
        <f>E11-J11</f>
        <v>1162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312</v>
      </c>
      <c r="G12" s="17">
        <f>E12-F12</f>
        <v>1200</v>
      </c>
      <c r="H12" s="17">
        <v>171</v>
      </c>
      <c r="I12" s="17">
        <f>E12-H12</f>
        <v>1341</v>
      </c>
      <c r="J12" s="17">
        <v>253</v>
      </c>
      <c r="K12" s="17">
        <f>E12-J12</f>
        <v>1259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18"/>
      <c r="I13" s="18" t="e">
        <f>#REF!-H13</f>
        <v>#REF!</v>
      </c>
      <c r="J13" s="18"/>
      <c r="K13" s="19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0">
        <f>172585/744*1.8</f>
        <v>417.54435483870969</v>
      </c>
      <c r="G14" s="10">
        <f t="shared" ref="G14:G17" si="2">E14-F14</f>
        <v>32.455645161290306</v>
      </c>
      <c r="H14" s="10">
        <f>165637/672*1.8</f>
        <v>443.67053571428573</v>
      </c>
      <c r="I14" s="10">
        <f>E14-H14</f>
        <v>6.3294642857142662</v>
      </c>
      <c r="J14" s="10">
        <f>177693/744*1.8</f>
        <v>429.90241935483874</v>
      </c>
      <c r="K14" s="10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0">
        <f>2458/744*2</f>
        <v>6.60752688172043</v>
      </c>
      <c r="G15" s="10">
        <f t="shared" si="2"/>
        <v>243.39247311827958</v>
      </c>
      <c r="H15" s="10">
        <f>2575/672*2</f>
        <v>7.6636904761904763</v>
      </c>
      <c r="I15" s="10">
        <f>E15-H15</f>
        <v>242.33630952380952</v>
      </c>
      <c r="J15" s="10">
        <f>5851/744*2</f>
        <v>15.728494623655914</v>
      </c>
      <c r="K15" s="10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0">
        <f>210891/744*1.7</f>
        <v>481.87459677419349</v>
      </c>
      <c r="G16" s="10">
        <f t="shared" si="2"/>
        <v>18.125403225806508</v>
      </c>
      <c r="H16" s="10">
        <f>220022/672*1.5</f>
        <v>491.12053571428572</v>
      </c>
      <c r="I16" s="10">
        <f>E16-H16</f>
        <v>8.8794642857142776</v>
      </c>
      <c r="J16" s="10">
        <f>168822/744*2</f>
        <v>453.82258064516128</v>
      </c>
      <c r="K16" s="10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38</v>
      </c>
      <c r="G17" s="10">
        <f t="shared" si="2"/>
        <v>862</v>
      </c>
      <c r="H17" s="10">
        <v>30</v>
      </c>
      <c r="I17" s="10">
        <f>E17-H17</f>
        <v>870</v>
      </c>
      <c r="J17" s="10">
        <v>34</v>
      </c>
      <c r="K17" s="10">
        <f>E17-J17</f>
        <v>866</v>
      </c>
      <c r="L17" s="2"/>
    </row>
  </sheetData>
  <mergeCells count="29">
    <mergeCell ref="K6:K10"/>
    <mergeCell ref="J12:J13"/>
    <mergeCell ref="K12:K13"/>
    <mergeCell ref="H6:H10"/>
    <mergeCell ref="I6:I10"/>
    <mergeCell ref="H12:H13"/>
    <mergeCell ref="I12:I13"/>
    <mergeCell ref="J6:J10"/>
    <mergeCell ref="L12:L13"/>
    <mergeCell ref="E12:E13"/>
    <mergeCell ref="E6:E10"/>
    <mergeCell ref="A1:L1"/>
    <mergeCell ref="A2:L2"/>
    <mergeCell ref="F6:F10"/>
    <mergeCell ref="G6:G10"/>
    <mergeCell ref="L6:L10"/>
    <mergeCell ref="F5:G5"/>
    <mergeCell ref="E4:E5"/>
    <mergeCell ref="C4:C5"/>
    <mergeCell ref="B4:B5"/>
    <mergeCell ref="A4:A5"/>
    <mergeCell ref="L4:L5"/>
    <mergeCell ref="H5:I5"/>
    <mergeCell ref="J5:K5"/>
    <mergeCell ref="D4:D5"/>
    <mergeCell ref="D6:D10"/>
    <mergeCell ref="D12:D13"/>
    <mergeCell ref="F12:F13"/>
    <mergeCell ref="G12:G13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7"/>
  <sheetViews>
    <sheetView view="pageBreakPreview" zoomScaleNormal="80" zoomScaleSheetLayoutView="100" workbookViewId="0">
      <selection activeCell="F27" sqref="F27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39</v>
      </c>
      <c r="G5" s="25"/>
      <c r="H5" s="26" t="s">
        <v>41</v>
      </c>
      <c r="I5" s="27"/>
      <c r="J5" s="28" t="s">
        <v>40</v>
      </c>
      <c r="K5" s="29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422</v>
      </c>
      <c r="G6" s="17">
        <f>E6-F6</f>
        <v>2048</v>
      </c>
      <c r="H6" s="17">
        <v>551</v>
      </c>
      <c r="I6" s="17">
        <f>$E6-H6</f>
        <v>1919</v>
      </c>
      <c r="J6" s="17">
        <v>619</v>
      </c>
      <c r="K6" s="17">
        <f>E6-J6</f>
        <v>1851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23"/>
      <c r="I7" s="21" t="e">
        <f>#REF!-H7</f>
        <v>#REF!</v>
      </c>
      <c r="J7" s="23"/>
      <c r="K7" s="2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23"/>
      <c r="I8" s="21" t="e">
        <f>#REF!-H8</f>
        <v>#REF!</v>
      </c>
      <c r="J8" s="23"/>
      <c r="K8" s="2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23"/>
      <c r="I9" s="21" t="e">
        <f>#REF!-H9</f>
        <v>#REF!</v>
      </c>
      <c r="J9" s="23"/>
      <c r="K9" s="2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18"/>
      <c r="I10" s="19" t="e">
        <f>#REF!-H10</f>
        <v>#REF!</v>
      </c>
      <c r="J10" s="18"/>
      <c r="K10" s="19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264</v>
      </c>
      <c r="G11" s="10">
        <f>E11-F11</f>
        <v>1236</v>
      </c>
      <c r="H11" s="10">
        <v>251</v>
      </c>
      <c r="I11" s="10">
        <f t="shared" ref="I11" si="1">$E11-H11</f>
        <v>1249</v>
      </c>
      <c r="J11" s="10">
        <v>213</v>
      </c>
      <c r="K11" s="10">
        <f>E11-J11</f>
        <v>1287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244</v>
      </c>
      <c r="G12" s="17">
        <f>E12-F12</f>
        <v>1268</v>
      </c>
      <c r="H12" s="17">
        <v>304</v>
      </c>
      <c r="I12" s="17">
        <f>E12-H12</f>
        <v>1208</v>
      </c>
      <c r="J12" s="17">
        <v>231</v>
      </c>
      <c r="K12" s="17">
        <f>E12-J12</f>
        <v>1281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18"/>
      <c r="I13" s="18" t="e">
        <f>#REF!-H13</f>
        <v>#REF!</v>
      </c>
      <c r="J13" s="18"/>
      <c r="K13" s="19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1">
        <f>165637/672*1.8</f>
        <v>443.67053571428573</v>
      </c>
      <c r="I14" s="11">
        <f>E14-H14</f>
        <v>6.3294642857142662</v>
      </c>
      <c r="J14" s="11">
        <f>177693/744*1.8</f>
        <v>429.90241935483874</v>
      </c>
      <c r="K14" s="11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1">
        <f>2575/672*2</f>
        <v>7.6636904761904763</v>
      </c>
      <c r="I15" s="11">
        <f>E15-H15</f>
        <v>242.33630952380952</v>
      </c>
      <c r="J15" s="11">
        <f>5851/744*2</f>
        <v>15.728494623655914</v>
      </c>
      <c r="K15" s="11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1">
        <f>220022/672*1.5</f>
        <v>491.12053571428572</v>
      </c>
      <c r="I16" s="11">
        <f>E16-H16</f>
        <v>8.8794642857142776</v>
      </c>
      <c r="J16" s="11">
        <f>168822/744*2</f>
        <v>453.82258064516128</v>
      </c>
      <c r="K16" s="11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43</v>
      </c>
      <c r="G17" s="10">
        <f t="shared" si="2"/>
        <v>857</v>
      </c>
      <c r="H17" s="10">
        <v>34</v>
      </c>
      <c r="I17" s="10">
        <f>E17-H17</f>
        <v>866</v>
      </c>
      <c r="J17" s="10">
        <v>39</v>
      </c>
      <c r="K17" s="10">
        <f>E17-J17</f>
        <v>861</v>
      </c>
      <c r="L17" s="2"/>
    </row>
  </sheetData>
  <mergeCells count="29">
    <mergeCell ref="L6:L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I6:I10"/>
    <mergeCell ref="J6:J10"/>
    <mergeCell ref="K6:K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7"/>
  <sheetViews>
    <sheetView view="pageBreakPreview" zoomScaleNormal="80" zoomScaleSheetLayoutView="100" workbookViewId="0">
      <selection activeCell="I28" sqref="I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46</v>
      </c>
      <c r="G5" s="25"/>
      <c r="H5" s="26" t="s">
        <v>47</v>
      </c>
      <c r="I5" s="27"/>
      <c r="J5" s="28" t="s">
        <v>48</v>
      </c>
      <c r="K5" s="29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495</v>
      </c>
      <c r="G6" s="17">
        <f>E6-F6</f>
        <v>1975</v>
      </c>
      <c r="H6" s="17">
        <v>483</v>
      </c>
      <c r="I6" s="17">
        <f>$E6-H6</f>
        <v>1987</v>
      </c>
      <c r="J6" s="17">
        <v>447</v>
      </c>
      <c r="K6" s="17">
        <f>E6-J6</f>
        <v>2023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23"/>
      <c r="I7" s="21" t="e">
        <f>#REF!-H7</f>
        <v>#REF!</v>
      </c>
      <c r="J7" s="23"/>
      <c r="K7" s="21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23"/>
      <c r="I8" s="21" t="e">
        <f>#REF!-H8</f>
        <v>#REF!</v>
      </c>
      <c r="J8" s="23"/>
      <c r="K8" s="21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23"/>
      <c r="I9" s="21" t="e">
        <f>#REF!-H9</f>
        <v>#REF!</v>
      </c>
      <c r="J9" s="23"/>
      <c r="K9" s="21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18"/>
      <c r="I10" s="19" t="e">
        <f>#REF!-H10</f>
        <v>#REF!</v>
      </c>
      <c r="J10" s="18"/>
      <c r="K10" s="19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224</v>
      </c>
      <c r="G11" s="10">
        <f>E11-F11</f>
        <v>1276</v>
      </c>
      <c r="H11" s="10">
        <v>233</v>
      </c>
      <c r="I11" s="10">
        <f t="shared" ref="I11" si="1">$E11-H11</f>
        <v>1267</v>
      </c>
      <c r="J11" s="10">
        <v>241</v>
      </c>
      <c r="K11" s="10">
        <f>E11-J11</f>
        <v>1259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238</v>
      </c>
      <c r="G12" s="17">
        <f>E12-F12</f>
        <v>1274</v>
      </c>
      <c r="H12" s="17">
        <v>193</v>
      </c>
      <c r="I12" s="17">
        <f>E12-H12</f>
        <v>1319</v>
      </c>
      <c r="J12" s="17">
        <v>221</v>
      </c>
      <c r="K12" s="17">
        <f>E12-J12</f>
        <v>1291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18"/>
      <c r="I13" s="18" t="e">
        <f>#REF!-H13</f>
        <v>#REF!</v>
      </c>
      <c r="J13" s="18"/>
      <c r="K13" s="19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1">
        <f>165637/672*1.8</f>
        <v>443.67053571428573</v>
      </c>
      <c r="I14" s="11">
        <f>E14-H14</f>
        <v>6.3294642857142662</v>
      </c>
      <c r="J14" s="11">
        <f>177693/744*1.8</f>
        <v>429.90241935483874</v>
      </c>
      <c r="K14" s="11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1">
        <f>2575/672*2</f>
        <v>7.6636904761904763</v>
      </c>
      <c r="I15" s="11">
        <f>E15-H15</f>
        <v>242.33630952380952</v>
      </c>
      <c r="J15" s="11">
        <f>5851/744*2</f>
        <v>15.728494623655914</v>
      </c>
      <c r="K15" s="11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1">
        <f>220022/672*1.5</f>
        <v>491.12053571428572</v>
      </c>
      <c r="I16" s="11">
        <f>E16-H16</f>
        <v>8.8794642857142776</v>
      </c>
      <c r="J16" s="11">
        <f>168822/744*2</f>
        <v>453.82258064516128</v>
      </c>
      <c r="K16" s="11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45</v>
      </c>
      <c r="G17" s="10">
        <f t="shared" si="2"/>
        <v>855</v>
      </c>
      <c r="H17" s="10">
        <v>54</v>
      </c>
      <c r="I17" s="10">
        <f>E17-H17</f>
        <v>846</v>
      </c>
      <c r="J17" s="10">
        <v>88</v>
      </c>
      <c r="K17" s="10">
        <f>E17-J17</f>
        <v>812</v>
      </c>
      <c r="L17" s="2"/>
    </row>
  </sheetData>
  <mergeCells count="29">
    <mergeCell ref="G6:G10"/>
    <mergeCell ref="H6:H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I6:I10"/>
    <mergeCell ref="J6:J10"/>
    <mergeCell ref="K6:K10"/>
    <mergeCell ref="L6:L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D6:D10"/>
    <mergeCell ref="E6:E10"/>
    <mergeCell ref="F6:F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tabSelected="1" view="pageBreakPreview" zoomScaleNormal="80" zoomScaleSheetLayoutView="100" workbookViewId="0">
      <selection activeCell="H33" sqref="H33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customHeight="1" x14ac:dyDescent="0.25">
      <c r="A2" s="22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ht="47.25" x14ac:dyDescent="0.25">
      <c r="A4" s="14" t="s">
        <v>24</v>
      </c>
      <c r="B4" s="14" t="s">
        <v>25</v>
      </c>
      <c r="C4" s="14" t="s">
        <v>26</v>
      </c>
      <c r="D4" s="14" t="s">
        <v>56</v>
      </c>
      <c r="E4" s="1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14"/>
    </row>
    <row r="5" spans="1:12" x14ac:dyDescent="0.25">
      <c r="A5" s="15"/>
      <c r="B5" s="15"/>
      <c r="C5" s="15"/>
      <c r="D5" s="15"/>
      <c r="E5" s="15"/>
      <c r="F5" s="24" t="s">
        <v>53</v>
      </c>
      <c r="G5" s="25"/>
      <c r="H5" s="26" t="s">
        <v>54</v>
      </c>
      <c r="I5" s="27"/>
      <c r="J5" s="28" t="s">
        <v>55</v>
      </c>
      <c r="K5" s="29"/>
      <c r="L5" s="15"/>
    </row>
    <row r="6" spans="1:12" x14ac:dyDescent="0.25">
      <c r="A6" s="3" t="s">
        <v>0</v>
      </c>
      <c r="B6" s="4" t="s">
        <v>1</v>
      </c>
      <c r="C6" s="2" t="s">
        <v>31</v>
      </c>
      <c r="D6" s="14">
        <v>6</v>
      </c>
      <c r="E6" s="20">
        <v>2470</v>
      </c>
      <c r="F6" s="17">
        <v>540</v>
      </c>
      <c r="G6" s="17">
        <f>E6-F6</f>
        <v>1930</v>
      </c>
      <c r="H6" s="30">
        <v>546</v>
      </c>
      <c r="I6" s="30">
        <f>$E6-H6</f>
        <v>1924</v>
      </c>
      <c r="J6" s="30">
        <v>540</v>
      </c>
      <c r="K6" s="30">
        <f>E6-J6</f>
        <v>1930</v>
      </c>
      <c r="L6" s="14"/>
    </row>
    <row r="7" spans="1:12" x14ac:dyDescent="0.25">
      <c r="A7" s="3" t="s">
        <v>2</v>
      </c>
      <c r="B7" s="4" t="s">
        <v>3</v>
      </c>
      <c r="C7" s="2" t="s">
        <v>32</v>
      </c>
      <c r="D7" s="16"/>
      <c r="E7" s="21"/>
      <c r="F7" s="23"/>
      <c r="G7" s="21">
        <f t="shared" ref="G7:G10" si="0">E7-F7</f>
        <v>0</v>
      </c>
      <c r="H7" s="31"/>
      <c r="I7" s="33" t="e">
        <f>#REF!-H7</f>
        <v>#REF!</v>
      </c>
      <c r="J7" s="31"/>
      <c r="K7" s="33" t="e">
        <f>#REF!-J7</f>
        <v>#REF!</v>
      </c>
      <c r="L7" s="16"/>
    </row>
    <row r="8" spans="1:12" x14ac:dyDescent="0.25">
      <c r="A8" s="3" t="s">
        <v>4</v>
      </c>
      <c r="B8" s="4" t="s">
        <v>5</v>
      </c>
      <c r="C8" s="2">
        <v>400</v>
      </c>
      <c r="D8" s="16"/>
      <c r="E8" s="21"/>
      <c r="F8" s="23"/>
      <c r="G8" s="21">
        <f t="shared" si="0"/>
        <v>0</v>
      </c>
      <c r="H8" s="31"/>
      <c r="I8" s="33" t="e">
        <f>#REF!-H8</f>
        <v>#REF!</v>
      </c>
      <c r="J8" s="31"/>
      <c r="K8" s="33" t="e">
        <f>#REF!-J8</f>
        <v>#REF!</v>
      </c>
      <c r="L8" s="16"/>
    </row>
    <row r="9" spans="1:12" x14ac:dyDescent="0.25">
      <c r="A9" s="3" t="s">
        <v>6</v>
      </c>
      <c r="B9" s="4" t="s">
        <v>7</v>
      </c>
      <c r="C9" s="2">
        <v>400</v>
      </c>
      <c r="D9" s="16"/>
      <c r="E9" s="21"/>
      <c r="F9" s="23"/>
      <c r="G9" s="21">
        <f t="shared" si="0"/>
        <v>0</v>
      </c>
      <c r="H9" s="31"/>
      <c r="I9" s="33" t="e">
        <f>#REF!-H9</f>
        <v>#REF!</v>
      </c>
      <c r="J9" s="31"/>
      <c r="K9" s="33" t="e">
        <f>#REF!-J9</f>
        <v>#REF!</v>
      </c>
      <c r="L9" s="16"/>
    </row>
    <row r="10" spans="1:12" x14ac:dyDescent="0.25">
      <c r="A10" s="3" t="s">
        <v>8</v>
      </c>
      <c r="B10" s="4" t="s">
        <v>9</v>
      </c>
      <c r="C10" s="2">
        <v>320</v>
      </c>
      <c r="D10" s="15"/>
      <c r="E10" s="19"/>
      <c r="F10" s="18"/>
      <c r="G10" s="19">
        <f t="shared" si="0"/>
        <v>0</v>
      </c>
      <c r="H10" s="32"/>
      <c r="I10" s="34" t="e">
        <f>#REF!-H10</f>
        <v>#REF!</v>
      </c>
      <c r="J10" s="32"/>
      <c r="K10" s="34" t="e">
        <f>#REF!-J10</f>
        <v>#REF!</v>
      </c>
      <c r="L10" s="1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280</v>
      </c>
      <c r="G11" s="10">
        <f>E11-F11</f>
        <v>1220</v>
      </c>
      <c r="H11" s="12">
        <v>294</v>
      </c>
      <c r="I11" s="12">
        <f t="shared" ref="I11" si="1">$E11-H11</f>
        <v>1206</v>
      </c>
      <c r="J11" s="12">
        <v>291</v>
      </c>
      <c r="K11" s="12">
        <f>E11-J11</f>
        <v>1209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14">
        <v>10</v>
      </c>
      <c r="E12" s="20">
        <v>1512</v>
      </c>
      <c r="F12" s="17">
        <v>221</v>
      </c>
      <c r="G12" s="17">
        <f>E12-F12</f>
        <v>1291</v>
      </c>
      <c r="H12" s="30">
        <v>258</v>
      </c>
      <c r="I12" s="30">
        <f>E12-H12</f>
        <v>1254</v>
      </c>
      <c r="J12" s="30">
        <v>277</v>
      </c>
      <c r="K12" s="30">
        <f>E12-J12</f>
        <v>1235</v>
      </c>
      <c r="L12" s="14"/>
    </row>
    <row r="13" spans="1:12" x14ac:dyDescent="0.25">
      <c r="A13" s="3" t="s">
        <v>14</v>
      </c>
      <c r="B13" s="4" t="s">
        <v>15</v>
      </c>
      <c r="C13" s="2" t="s">
        <v>33</v>
      </c>
      <c r="D13" s="15"/>
      <c r="E13" s="19"/>
      <c r="F13" s="18"/>
      <c r="G13" s="19"/>
      <c r="H13" s="32"/>
      <c r="I13" s="32" t="e">
        <f>#REF!-H13</f>
        <v>#REF!</v>
      </c>
      <c r="J13" s="32"/>
      <c r="K13" s="34" t="e">
        <f>#REF!-J13</f>
        <v>#REF!</v>
      </c>
      <c r="L13" s="1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3">
        <f>165637/672*1.8</f>
        <v>443.67053571428573</v>
      </c>
      <c r="I14" s="13">
        <f>E14-H14</f>
        <v>6.3294642857142662</v>
      </c>
      <c r="J14" s="13">
        <f>177693/744*1.8</f>
        <v>429.90241935483874</v>
      </c>
      <c r="K14" s="13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3">
        <f>2575/672*2</f>
        <v>7.6636904761904763</v>
      </c>
      <c r="I15" s="13">
        <f>E15-H15</f>
        <v>242.33630952380952</v>
      </c>
      <c r="J15" s="13">
        <f>5851/744*2</f>
        <v>15.728494623655914</v>
      </c>
      <c r="K15" s="13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3">
        <f>220022/672*1.5</f>
        <v>491.12053571428572</v>
      </c>
      <c r="I16" s="13">
        <f>E16-H16</f>
        <v>8.8794642857142776</v>
      </c>
      <c r="J16" s="13">
        <f>168822/744*2</f>
        <v>453.82258064516128</v>
      </c>
      <c r="K16" s="13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34</v>
      </c>
      <c r="G17" s="10">
        <f t="shared" si="2"/>
        <v>866</v>
      </c>
      <c r="H17" s="12">
        <v>42</v>
      </c>
      <c r="I17" s="12">
        <f>E17-H17</f>
        <v>858</v>
      </c>
      <c r="J17" s="12">
        <v>47</v>
      </c>
      <c r="K17" s="12">
        <f>E17-J17</f>
        <v>853</v>
      </c>
      <c r="L17" s="2"/>
    </row>
  </sheetData>
  <mergeCells count="29">
    <mergeCell ref="I6:I10"/>
    <mergeCell ref="J6:J10"/>
    <mergeCell ref="K6:K10"/>
    <mergeCell ref="L6:L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zoomScale="70" zoomScaleNormal="70" workbookViewId="0">
      <selection activeCell="E6" sqref="E6:E10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customHeight="1" x14ac:dyDescent="0.25">
      <c r="A2" s="22" t="s">
        <v>52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4" ht="47.25" x14ac:dyDescent="0.25">
      <c r="A4" s="14" t="s">
        <v>24</v>
      </c>
      <c r="B4" s="14" t="s">
        <v>25</v>
      </c>
      <c r="C4" s="14" t="s">
        <v>26</v>
      </c>
      <c r="D4" s="1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38" t="s">
        <v>34</v>
      </c>
    </row>
    <row r="5" spans="1:14" x14ac:dyDescent="0.25">
      <c r="A5" s="15"/>
      <c r="B5" s="15"/>
      <c r="C5" s="15"/>
      <c r="D5" s="15"/>
      <c r="E5" s="40" t="s">
        <v>46</v>
      </c>
      <c r="F5" s="41"/>
      <c r="G5" s="42"/>
      <c r="H5" s="40" t="s">
        <v>47</v>
      </c>
      <c r="I5" s="41"/>
      <c r="J5" s="42"/>
      <c r="K5" s="40" t="s">
        <v>48</v>
      </c>
      <c r="L5" s="41"/>
      <c r="M5" s="42"/>
      <c r="N5" s="39"/>
    </row>
    <row r="6" spans="1:14" x14ac:dyDescent="0.25">
      <c r="A6" s="3" t="s">
        <v>0</v>
      </c>
      <c r="B6" s="4" t="s">
        <v>1</v>
      </c>
      <c r="C6" s="2" t="s">
        <v>31</v>
      </c>
      <c r="D6" s="14">
        <v>2470</v>
      </c>
      <c r="E6" s="35">
        <f>(154003+2448+2920+3059)/4200*12</f>
        <v>464.08571428571429</v>
      </c>
      <c r="F6" s="35">
        <f>$D6-E6</f>
        <v>2005.9142857142856</v>
      </c>
      <c r="G6" s="14">
        <v>0</v>
      </c>
      <c r="H6" s="35">
        <f>(138538+12+3240+3127+5397)/4200*12</f>
        <v>429.46857142857147</v>
      </c>
      <c r="I6" s="35">
        <f>$D6-H6</f>
        <v>2040.5314285714285</v>
      </c>
      <c r="J6" s="14">
        <v>0</v>
      </c>
      <c r="K6" s="35">
        <f>(128821+24+2640+2891+0)/4200*12</f>
        <v>383.93142857142857</v>
      </c>
      <c r="L6" s="35">
        <f>$D6-K6</f>
        <v>2086.0685714285714</v>
      </c>
      <c r="M6" s="14">
        <v>0</v>
      </c>
      <c r="N6" s="1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16"/>
      <c r="E7" s="37"/>
      <c r="F7" s="16"/>
      <c r="G7" s="16"/>
      <c r="H7" s="37"/>
      <c r="I7" s="16"/>
      <c r="J7" s="16"/>
      <c r="K7" s="37"/>
      <c r="L7" s="16"/>
      <c r="M7" s="16"/>
      <c r="N7" s="16"/>
    </row>
    <row r="8" spans="1:14" x14ac:dyDescent="0.25">
      <c r="A8" s="3" t="s">
        <v>4</v>
      </c>
      <c r="B8" s="4" t="s">
        <v>5</v>
      </c>
      <c r="C8" s="2">
        <v>400</v>
      </c>
      <c r="D8" s="16"/>
      <c r="E8" s="37"/>
      <c r="F8" s="16"/>
      <c r="G8" s="16"/>
      <c r="H8" s="37"/>
      <c r="I8" s="16"/>
      <c r="J8" s="16"/>
      <c r="K8" s="37"/>
      <c r="L8" s="16"/>
      <c r="M8" s="16"/>
      <c r="N8" s="16"/>
    </row>
    <row r="9" spans="1:14" x14ac:dyDescent="0.25">
      <c r="A9" s="3" t="s">
        <v>6</v>
      </c>
      <c r="B9" s="4" t="s">
        <v>7</v>
      </c>
      <c r="C9" s="2">
        <v>320</v>
      </c>
      <c r="D9" s="16"/>
      <c r="E9" s="37"/>
      <c r="F9" s="16"/>
      <c r="G9" s="16"/>
      <c r="H9" s="37"/>
      <c r="I9" s="16"/>
      <c r="J9" s="16"/>
      <c r="K9" s="37"/>
      <c r="L9" s="16"/>
      <c r="M9" s="16"/>
      <c r="N9" s="16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36"/>
      <c r="F10" s="15"/>
      <c r="G10" s="15"/>
      <c r="H10" s="36"/>
      <c r="I10" s="15"/>
      <c r="J10" s="15"/>
      <c r="K10" s="36"/>
      <c r="L10" s="15"/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(77314+0)/4200*12</f>
        <v>220.89714285714285</v>
      </c>
      <c r="F11" s="7">
        <f>$D11-E11</f>
        <v>1279.1028571428571</v>
      </c>
      <c r="G11" s="2">
        <v>0</v>
      </c>
      <c r="H11" s="7">
        <f>71731/4200*12</f>
        <v>204.9457142857143</v>
      </c>
      <c r="I11" s="7">
        <f>$D11-H11</f>
        <v>1295.0542857142857</v>
      </c>
      <c r="J11" s="2">
        <v>0</v>
      </c>
      <c r="K11" s="7">
        <f>60988/4200*12</f>
        <v>174.25142857142856</v>
      </c>
      <c r="L11" s="7">
        <f>$D11-K11</f>
        <v>1325.7485714285715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14">
        <v>1512</v>
      </c>
      <c r="E12" s="35">
        <f>(83428+586)/4200*12</f>
        <v>240.04000000000002</v>
      </c>
      <c r="F12" s="35">
        <f>$D12-E12</f>
        <v>1271.96</v>
      </c>
      <c r="G12" s="14">
        <v>0</v>
      </c>
      <c r="H12" s="35">
        <f>(98346+489)/4200*12</f>
        <v>282.3857142857143</v>
      </c>
      <c r="I12" s="35">
        <f>$D12-H12</f>
        <v>1229.6142857142856</v>
      </c>
      <c r="J12" s="14">
        <v>0</v>
      </c>
      <c r="K12" s="35">
        <f>(92829+630)/4200*12</f>
        <v>267.02571428571429</v>
      </c>
      <c r="L12" s="35">
        <f>$D12-K12</f>
        <v>1244.9742857142858</v>
      </c>
      <c r="M12" s="14">
        <v>0</v>
      </c>
      <c r="N12" s="1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15"/>
      <c r="E13" s="36"/>
      <c r="F13" s="15"/>
      <c r="G13" s="15"/>
      <c r="H13" s="36"/>
      <c r="I13" s="15"/>
      <c r="J13" s="15"/>
      <c r="K13" s="36"/>
      <c r="L13" s="15"/>
      <c r="M13" s="15"/>
      <c r="N13" s="1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300238/8760*12</f>
        <v>411.28493150684938</v>
      </c>
      <c r="F14" s="7">
        <f t="shared" ref="F14:F19" si="0">$D14-E14</f>
        <v>38.715068493150625</v>
      </c>
      <c r="G14" s="2">
        <v>0</v>
      </c>
      <c r="H14" s="7">
        <f>317153/8760*12</f>
        <v>434.4561643835616</v>
      </c>
      <c r="I14" s="7">
        <f t="shared" ref="I14:I19" si="1">$D14-H14</f>
        <v>15.5438356164384</v>
      </c>
      <c r="J14" s="2">
        <v>0</v>
      </c>
      <c r="K14" s="7">
        <f>280509/8760*12</f>
        <v>384.25890410958903</v>
      </c>
      <c r="L14" s="7">
        <f t="shared" ref="L14:L19" si="2">$D14-K14</f>
        <v>65.741095890410975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8660/4200*12</f>
        <v>24.74285714285714</v>
      </c>
      <c r="F15" s="7">
        <f t="shared" si="0"/>
        <v>225.25714285714287</v>
      </c>
      <c r="G15" s="2">
        <v>0</v>
      </c>
      <c r="H15" s="7">
        <f>10532/4200*12</f>
        <v>30.091428571428569</v>
      </c>
      <c r="I15" s="7">
        <f t="shared" si="1"/>
        <v>219.90857142857143</v>
      </c>
      <c r="J15" s="2">
        <v>0</v>
      </c>
      <c r="K15" s="7">
        <f>8075/4200*12</f>
        <v>23.071428571428573</v>
      </c>
      <c r="L15" s="7">
        <f t="shared" si="2"/>
        <v>226.92857142857142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2880/4200*12</f>
        <v>8.2285714285714278</v>
      </c>
      <c r="F16" s="7">
        <f t="shared" si="0"/>
        <v>30.871428571428574</v>
      </c>
      <c r="G16" s="2">
        <v>199</v>
      </c>
      <c r="H16" s="7">
        <f>3440/4200*12</f>
        <v>9.8285714285714292</v>
      </c>
      <c r="I16" s="7">
        <f t="shared" si="1"/>
        <v>29.271428571428572</v>
      </c>
      <c r="J16" s="2">
        <v>199</v>
      </c>
      <c r="K16" s="7">
        <f>3200/4200*12</f>
        <v>9.1428571428571423</v>
      </c>
      <c r="L16" s="7">
        <f t="shared" si="2"/>
        <v>29.957142857142859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188539/8760*12</f>
        <v>258.27260273972604</v>
      </c>
      <c r="F17" s="7">
        <f t="shared" si="0"/>
        <v>241.72739726027396</v>
      </c>
      <c r="G17" s="2">
        <v>0</v>
      </c>
      <c r="H17" s="7">
        <f>192414/8760*12</f>
        <v>263.58082191780824</v>
      </c>
      <c r="I17" s="7">
        <f t="shared" si="1"/>
        <v>236.41917808219176</v>
      </c>
      <c r="J17" s="2">
        <v>0</v>
      </c>
      <c r="K17" s="7">
        <f>138794/8760*12</f>
        <v>190.12876712328767</v>
      </c>
      <c r="L17" s="7">
        <f t="shared" si="2"/>
        <v>309.87123287671233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(35489+1004)/4200*12</f>
        <v>104.2657142857143</v>
      </c>
      <c r="F18" s="7">
        <f t="shared" si="0"/>
        <v>795.73428571428576</v>
      </c>
      <c r="G18" s="7">
        <v>0</v>
      </c>
      <c r="H18" s="7">
        <f>(26549+2511)/4200*12</f>
        <v>83.028571428571439</v>
      </c>
      <c r="I18" s="7">
        <f t="shared" si="1"/>
        <v>816.97142857142853</v>
      </c>
      <c r="J18" s="7">
        <v>0</v>
      </c>
      <c r="K18" s="7">
        <f>(16221+2621)/4200*12</f>
        <v>53.834285714285713</v>
      </c>
      <c r="L18" s="7">
        <f t="shared" si="2"/>
        <v>846.16571428571433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(13968+795+2189+398)/4200*12</f>
        <v>49.571428571428577</v>
      </c>
      <c r="F19" s="7">
        <f t="shared" si="0"/>
        <v>350.42857142857144</v>
      </c>
      <c r="G19" s="7">
        <v>0</v>
      </c>
      <c r="H19" s="7">
        <f>(15616+928+1514+476)/4200*12</f>
        <v>52.954285714285717</v>
      </c>
      <c r="I19" s="7">
        <f t="shared" si="1"/>
        <v>347.04571428571427</v>
      </c>
      <c r="J19" s="7">
        <v>0</v>
      </c>
      <c r="K19" s="7">
        <f>(13515+863+1420+564)/4200*12</f>
        <v>46.748571428571431</v>
      </c>
      <c r="L19" s="7">
        <f t="shared" si="2"/>
        <v>353.25142857142856</v>
      </c>
      <c r="M19" s="2">
        <v>0</v>
      </c>
      <c r="N19" s="2" t="s">
        <v>37</v>
      </c>
    </row>
  </sheetData>
  <mergeCells count="32"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  <mergeCell ref="D12:D13"/>
    <mergeCell ref="E12:E13"/>
    <mergeCell ref="F12:F13"/>
    <mergeCell ref="G12:G13"/>
    <mergeCell ref="H12:H13"/>
    <mergeCell ref="N12:N13"/>
    <mergeCell ref="J6:J10"/>
    <mergeCell ref="K6:K10"/>
    <mergeCell ref="L6:L10"/>
    <mergeCell ref="M6:M10"/>
    <mergeCell ref="N6:N10"/>
    <mergeCell ref="I12:I13"/>
    <mergeCell ref="J12:J13"/>
    <mergeCell ref="K12:K13"/>
    <mergeCell ref="L12:L13"/>
    <mergeCell ref="M12:M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>
      <selection activeCell="M16" sqref="M16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customHeight="1" x14ac:dyDescent="0.25">
      <c r="A2" s="22" t="s">
        <v>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4" spans="1:14" ht="47.25" x14ac:dyDescent="0.25">
      <c r="A4" s="14" t="s">
        <v>24</v>
      </c>
      <c r="B4" s="14" t="s">
        <v>25</v>
      </c>
      <c r="C4" s="14" t="s">
        <v>26</v>
      </c>
      <c r="D4" s="1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38" t="s">
        <v>34</v>
      </c>
    </row>
    <row r="5" spans="1:14" x14ac:dyDescent="0.25">
      <c r="A5" s="15"/>
      <c r="B5" s="15"/>
      <c r="C5" s="15"/>
      <c r="D5" s="15"/>
      <c r="E5" s="40" t="s">
        <v>53</v>
      </c>
      <c r="F5" s="41"/>
      <c r="G5" s="42"/>
      <c r="H5" s="40" t="s">
        <v>54</v>
      </c>
      <c r="I5" s="41"/>
      <c r="J5" s="42"/>
      <c r="K5" s="40" t="s">
        <v>55</v>
      </c>
      <c r="L5" s="41"/>
      <c r="M5" s="42"/>
      <c r="N5" s="39"/>
    </row>
    <row r="6" spans="1:14" x14ac:dyDescent="0.25">
      <c r="A6" s="3" t="s">
        <v>0</v>
      </c>
      <c r="B6" s="4" t="s">
        <v>1</v>
      </c>
      <c r="C6" s="2" t="s">
        <v>31</v>
      </c>
      <c r="D6" s="14">
        <v>2470</v>
      </c>
      <c r="E6" s="35">
        <f>(206706+24+2800+3300)/4200*12</f>
        <v>608.08571428571429</v>
      </c>
      <c r="F6" s="35">
        <f>$D6-E6</f>
        <v>1861.9142857142856</v>
      </c>
      <c r="G6" s="14">
        <v>0</v>
      </c>
      <c r="H6" s="35">
        <f>230757/4200*12</f>
        <v>659.3057142857142</v>
      </c>
      <c r="I6" s="35">
        <f>$D6-H6</f>
        <v>1810.6942857142858</v>
      </c>
      <c r="J6" s="14">
        <v>0</v>
      </c>
      <c r="K6" s="35">
        <f>217179/4200*12</f>
        <v>620.5114285714285</v>
      </c>
      <c r="L6" s="35">
        <f>$D6-K6</f>
        <v>1849.4885714285715</v>
      </c>
      <c r="M6" s="14">
        <v>0</v>
      </c>
      <c r="N6" s="1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16"/>
      <c r="E7" s="37"/>
      <c r="F7" s="16"/>
      <c r="G7" s="16"/>
      <c r="H7" s="37"/>
      <c r="I7" s="16"/>
      <c r="J7" s="16"/>
      <c r="K7" s="37"/>
      <c r="L7" s="16"/>
      <c r="M7" s="16"/>
      <c r="N7" s="16"/>
    </row>
    <row r="8" spans="1:14" x14ac:dyDescent="0.25">
      <c r="A8" s="3" t="s">
        <v>4</v>
      </c>
      <c r="B8" s="4" t="s">
        <v>5</v>
      </c>
      <c r="C8" s="2">
        <v>400</v>
      </c>
      <c r="D8" s="16"/>
      <c r="E8" s="37"/>
      <c r="F8" s="16"/>
      <c r="G8" s="16"/>
      <c r="H8" s="37"/>
      <c r="I8" s="16"/>
      <c r="J8" s="16"/>
      <c r="K8" s="37"/>
      <c r="L8" s="16"/>
      <c r="M8" s="16"/>
      <c r="N8" s="16"/>
    </row>
    <row r="9" spans="1:14" x14ac:dyDescent="0.25">
      <c r="A9" s="3" t="s">
        <v>6</v>
      </c>
      <c r="B9" s="4" t="s">
        <v>7</v>
      </c>
      <c r="C9" s="2">
        <v>320</v>
      </c>
      <c r="D9" s="16"/>
      <c r="E9" s="37"/>
      <c r="F9" s="16"/>
      <c r="G9" s="16"/>
      <c r="H9" s="37"/>
      <c r="I9" s="16"/>
      <c r="J9" s="16"/>
      <c r="K9" s="37"/>
      <c r="L9" s="16"/>
      <c r="M9" s="16"/>
      <c r="N9" s="16"/>
    </row>
    <row r="10" spans="1:14" x14ac:dyDescent="0.25">
      <c r="A10" s="3" t="s">
        <v>8</v>
      </c>
      <c r="B10" s="4" t="s">
        <v>9</v>
      </c>
      <c r="C10" s="2">
        <v>400</v>
      </c>
      <c r="D10" s="15"/>
      <c r="E10" s="36"/>
      <c r="F10" s="15"/>
      <c r="G10" s="15"/>
      <c r="H10" s="36"/>
      <c r="I10" s="15"/>
      <c r="J10" s="15"/>
      <c r="K10" s="36"/>
      <c r="L10" s="15"/>
      <c r="M10" s="15"/>
      <c r="N10" s="1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74091/4200*12</f>
        <v>211.68857142857144</v>
      </c>
      <c r="F11" s="7">
        <f>$D11-E11</f>
        <v>1288.3114285714287</v>
      </c>
      <c r="G11" s="2">
        <v>0</v>
      </c>
      <c r="H11" s="7">
        <f>101192/4200*12</f>
        <v>289.12</v>
      </c>
      <c r="I11" s="7">
        <f>$D11-H11</f>
        <v>1210.8800000000001</v>
      </c>
      <c r="J11" s="2">
        <v>0</v>
      </c>
      <c r="K11" s="7">
        <f>109979/4200*12</f>
        <v>314.22571428571428</v>
      </c>
      <c r="L11" s="7">
        <f>$D11-K11</f>
        <v>1185.7742857142857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14">
        <v>1512</v>
      </c>
      <c r="E12" s="35">
        <f>(109055+446)/4200*12</f>
        <v>312.86</v>
      </c>
      <c r="F12" s="35">
        <f>$D12-E12</f>
        <v>1199.1399999999999</v>
      </c>
      <c r="G12" s="14">
        <v>0</v>
      </c>
      <c r="H12" s="35">
        <f>105649/4200*12</f>
        <v>301.85428571428571</v>
      </c>
      <c r="I12" s="35">
        <f>$D12-H12</f>
        <v>1210.1457142857143</v>
      </c>
      <c r="J12" s="14">
        <v>0</v>
      </c>
      <c r="K12" s="35">
        <f>105585/4200*12</f>
        <v>301.67142857142858</v>
      </c>
      <c r="L12" s="35">
        <f>$D12-K12</f>
        <v>1210.3285714285714</v>
      </c>
      <c r="M12" s="14">
        <v>0</v>
      </c>
      <c r="N12" s="1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15"/>
      <c r="E13" s="36"/>
      <c r="F13" s="15"/>
      <c r="G13" s="15"/>
      <c r="H13" s="36"/>
      <c r="I13" s="15"/>
      <c r="J13" s="15"/>
      <c r="K13" s="36"/>
      <c r="L13" s="15"/>
      <c r="M13" s="15"/>
      <c r="N13" s="1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219869/8760*12</f>
        <v>301.19041095890407</v>
      </c>
      <c r="F14" s="7">
        <f t="shared" ref="F14:F19" si="0">$D14-E14</f>
        <v>148.80958904109593</v>
      </c>
      <c r="G14" s="2">
        <v>0</v>
      </c>
      <c r="H14" s="7">
        <f>215198/8670*12</f>
        <v>297.85190311418683</v>
      </c>
      <c r="I14" s="7">
        <f t="shared" ref="I14:I19" si="1">$D14-H14</f>
        <v>152.14809688581317</v>
      </c>
      <c r="J14" s="2">
        <v>0</v>
      </c>
      <c r="K14" s="7">
        <f>215464/8670*12</f>
        <v>298.22006920415225</v>
      </c>
      <c r="L14" s="7">
        <f t="shared" ref="L14:L19" si="2">$D14-K14</f>
        <v>151.77993079584775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4681/4200*12</f>
        <v>13.374285714285714</v>
      </c>
      <c r="F15" s="7">
        <f t="shared" si="0"/>
        <v>236.62571428571428</v>
      </c>
      <c r="G15" s="2">
        <v>0</v>
      </c>
      <c r="H15" s="7">
        <f>4447/4200*12</f>
        <v>12.705714285714286</v>
      </c>
      <c r="I15" s="7">
        <f t="shared" si="1"/>
        <v>237.29428571428571</v>
      </c>
      <c r="J15" s="2">
        <v>0</v>
      </c>
      <c r="K15" s="7">
        <f>2809/4200*12</f>
        <v>8.0257142857142867</v>
      </c>
      <c r="L15" s="7">
        <f t="shared" si="2"/>
        <v>241.97428571428571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5200/4200*12</f>
        <v>14.857142857142858</v>
      </c>
      <c r="F16" s="7">
        <f t="shared" si="0"/>
        <v>24.242857142857144</v>
      </c>
      <c r="G16" s="2">
        <v>199</v>
      </c>
      <c r="H16" s="7">
        <f>12640/4200*12</f>
        <v>36.114285714285714</v>
      </c>
      <c r="I16" s="7">
        <f t="shared" si="1"/>
        <v>2.9857142857142875</v>
      </c>
      <c r="J16" s="2">
        <v>199</v>
      </c>
      <c r="K16" s="7">
        <f>13120/4200*12</f>
        <v>37.485714285714288</v>
      </c>
      <c r="L16" s="7">
        <f t="shared" si="2"/>
        <v>1.6142857142857139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161139/8760*12</f>
        <v>220.73835616438356</v>
      </c>
      <c r="F17" s="7">
        <f t="shared" si="0"/>
        <v>279.26164383561644</v>
      </c>
      <c r="G17" s="2">
        <v>0</v>
      </c>
      <c r="H17" s="7">
        <f>196692/8760*12</f>
        <v>269.44109589041096</v>
      </c>
      <c r="I17" s="7">
        <f t="shared" si="1"/>
        <v>230.55890410958904</v>
      </c>
      <c r="J17" s="2">
        <v>0</v>
      </c>
      <c r="K17" s="7">
        <f>252049/8760*12</f>
        <v>345.27260273972604</v>
      </c>
      <c r="L17" s="7">
        <f t="shared" si="2"/>
        <v>154.72739726027396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(18424+2511)/4200*12</f>
        <v>59.81428571428571</v>
      </c>
      <c r="F18" s="7">
        <f t="shared" si="0"/>
        <v>840.18571428571431</v>
      </c>
      <c r="G18" s="7">
        <v>0</v>
      </c>
      <c r="H18" s="7">
        <f>42869/4200*12</f>
        <v>122.48285714285714</v>
      </c>
      <c r="I18" s="7">
        <f t="shared" si="1"/>
        <v>777.51714285714286</v>
      </c>
      <c r="J18" s="7">
        <v>0</v>
      </c>
      <c r="K18" s="7">
        <f>19374/4200*12</f>
        <v>55.354285714285716</v>
      </c>
      <c r="L18" s="7">
        <f t="shared" si="2"/>
        <v>844.64571428571423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(15834+1504+2010+4741)/4200*12</f>
        <v>68.825714285714284</v>
      </c>
      <c r="F19" s="7">
        <f t="shared" si="0"/>
        <v>331.1742857142857</v>
      </c>
      <c r="G19" s="7">
        <v>0</v>
      </c>
      <c r="H19" s="7">
        <f>25249/4200*12</f>
        <v>72.14</v>
      </c>
      <c r="I19" s="7">
        <f t="shared" si="1"/>
        <v>327.86</v>
      </c>
      <c r="J19" s="7">
        <v>0</v>
      </c>
      <c r="K19" s="7">
        <f>33155/4200*12</f>
        <v>94.728571428571428</v>
      </c>
      <c r="L19" s="7">
        <f t="shared" si="2"/>
        <v>305.2714285714286</v>
      </c>
      <c r="M19" s="2">
        <v>0</v>
      </c>
      <c r="N19" s="2" t="s">
        <v>37</v>
      </c>
    </row>
  </sheetData>
  <mergeCells count="32">
    <mergeCell ref="I12:I13"/>
    <mergeCell ref="J12:J13"/>
    <mergeCell ref="K12:K13"/>
    <mergeCell ref="L12:L13"/>
    <mergeCell ref="M12:M13"/>
    <mergeCell ref="N12:N13"/>
    <mergeCell ref="J6:J10"/>
    <mergeCell ref="K6:K10"/>
    <mergeCell ref="L6:L10"/>
    <mergeCell ref="M6:M10"/>
    <mergeCell ref="N6:N10"/>
    <mergeCell ref="D12:D13"/>
    <mergeCell ref="E12:E13"/>
    <mergeCell ref="F12:F13"/>
    <mergeCell ref="G12:G13"/>
    <mergeCell ref="H12:H13"/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 кв.</vt:lpstr>
      <vt:lpstr>2 кв. </vt:lpstr>
      <vt:lpstr>3 кв.</vt:lpstr>
      <vt:lpstr>4 кв. </vt:lpstr>
      <vt:lpstr>3 кв. 2016</vt:lpstr>
      <vt:lpstr>4 кв. 2-016</vt:lpstr>
      <vt:lpstr>'1 кв.'!Область_печати</vt:lpstr>
      <vt:lpstr>'2 кв. '!Область_печати</vt:lpstr>
      <vt:lpstr>'3 кв.'!Область_печати</vt:lpstr>
      <vt:lpstr>'4 кв. 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2017-05-04T08:38:16Z</cp:lastPrinted>
  <dcterms:created xsi:type="dcterms:W3CDTF">2016-02-25T15:45:55Z</dcterms:created>
  <dcterms:modified xsi:type="dcterms:W3CDTF">2018-01-22T09:01:55Z</dcterms:modified>
</cp:coreProperties>
</file>