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19440" windowHeight="9480" activeTab="3"/>
  </bookViews>
  <sheets>
    <sheet name="1 кв." sheetId="1" r:id="rId1"/>
    <sheet name="2 кв." sheetId="2" r:id="rId2"/>
    <sheet name="3 кв." sheetId="3" r:id="rId3"/>
    <sheet name="4 кв." sheetId="5" r:id="rId4"/>
  </sheets>
  <calcPr calcId="145621"/>
</workbook>
</file>

<file path=xl/calcChain.xml><?xml version="1.0" encoding="utf-8"?>
<calcChain xmlns="http://schemas.openxmlformats.org/spreadsheetml/2006/main">
  <c r="K19" i="5" l="1"/>
  <c r="K18" i="5"/>
  <c r="K17" i="5"/>
  <c r="K16" i="5"/>
  <c r="K15" i="5"/>
  <c r="K14" i="5"/>
  <c r="K12" i="5"/>
  <c r="K11" i="5"/>
  <c r="K6" i="5"/>
  <c r="H19" i="5" l="1"/>
  <c r="H18" i="5"/>
  <c r="H17" i="5"/>
  <c r="H16" i="5"/>
  <c r="H15" i="5"/>
  <c r="H14" i="5"/>
  <c r="H12" i="5"/>
  <c r="H11" i="5"/>
  <c r="H6" i="5"/>
  <c r="E17" i="5" l="1"/>
  <c r="E6" i="5"/>
  <c r="E16" i="5"/>
  <c r="E15" i="5"/>
  <c r="E19" i="5"/>
  <c r="E18" i="5"/>
  <c r="E14" i="5"/>
  <c r="E11" i="5"/>
  <c r="E12" i="5"/>
  <c r="L19" i="5"/>
  <c r="I19" i="5"/>
  <c r="F19" i="5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F14" i="5"/>
  <c r="L12" i="5"/>
  <c r="I12" i="5"/>
  <c r="F12" i="5"/>
  <c r="L11" i="5"/>
  <c r="I11" i="5"/>
  <c r="F11" i="5"/>
  <c r="L6" i="5"/>
  <c r="I6" i="5"/>
  <c r="F6" i="5"/>
  <c r="K19" i="3"/>
  <c r="K18" i="3"/>
  <c r="K14" i="3"/>
  <c r="K11" i="3"/>
  <c r="K12" i="3"/>
  <c r="K17" i="3"/>
  <c r="K6" i="3"/>
  <c r="L6" i="3"/>
  <c r="K16" i="3"/>
  <c r="K15" i="3"/>
  <c r="L19" i="3"/>
  <c r="L18" i="3"/>
  <c r="L17" i="3"/>
  <c r="L16" i="3"/>
  <c r="L15" i="3"/>
  <c r="L14" i="3"/>
  <c r="L12" i="3"/>
  <c r="L11" i="3"/>
  <c r="I19" i="3"/>
  <c r="I18" i="3"/>
  <c r="I17" i="3"/>
  <c r="I16" i="3"/>
  <c r="I15" i="3"/>
  <c r="I14" i="3"/>
  <c r="I12" i="3"/>
  <c r="I11" i="3"/>
  <c r="I6" i="3"/>
  <c r="F19" i="3"/>
  <c r="F18" i="3"/>
  <c r="F17" i="3"/>
  <c r="F16" i="3"/>
  <c r="F15" i="3"/>
  <c r="F14" i="3"/>
  <c r="F12" i="3"/>
  <c r="F11" i="3"/>
  <c r="F6" i="3"/>
  <c r="H19" i="3"/>
  <c r="H18" i="3"/>
  <c r="H14" i="3"/>
  <c r="H11" i="3"/>
  <c r="H12" i="3"/>
  <c r="K6" i="1"/>
  <c r="K11" i="1"/>
  <c r="H6" i="3"/>
  <c r="H17" i="3"/>
  <c r="H16" i="3"/>
  <c r="H15" i="3"/>
  <c r="E14" i="3"/>
  <c r="E19" i="3"/>
  <c r="E18" i="3"/>
  <c r="E11" i="3"/>
  <c r="E12" i="3"/>
  <c r="E17" i="3"/>
  <c r="E6" i="3"/>
  <c r="E16" i="3"/>
  <c r="E15" i="3"/>
  <c r="K19" i="1"/>
  <c r="H19" i="1"/>
  <c r="E19" i="1"/>
  <c r="F20" i="1"/>
  <c r="F19" i="1"/>
  <c r="F18" i="1"/>
  <c r="F17" i="1"/>
  <c r="F16" i="1"/>
  <c r="F15" i="1"/>
  <c r="F14" i="1"/>
  <c r="F12" i="1"/>
  <c r="F11" i="1"/>
  <c r="F6" i="1"/>
  <c r="K12" i="1"/>
  <c r="K15" i="1"/>
  <c r="H15" i="1"/>
  <c r="E15" i="1"/>
  <c r="K20" i="1"/>
  <c r="L6" i="1"/>
  <c r="K16" i="1"/>
  <c r="K18" i="1"/>
  <c r="K17" i="1"/>
  <c r="K14" i="1"/>
  <c r="H11" i="1"/>
  <c r="H12" i="1"/>
  <c r="H20" i="1"/>
  <c r="H6" i="1"/>
  <c r="H16" i="1"/>
  <c r="H18" i="1"/>
  <c r="H14" i="1"/>
  <c r="L20" i="1"/>
  <c r="L19" i="1"/>
  <c r="L18" i="1"/>
  <c r="L17" i="1"/>
  <c r="L15" i="1"/>
  <c r="L14" i="1"/>
  <c r="L12" i="1"/>
  <c r="L16" i="1"/>
  <c r="L13" i="1"/>
  <c r="L11" i="1"/>
  <c r="I20" i="1"/>
  <c r="I19" i="1"/>
  <c r="I18" i="1"/>
  <c r="I17" i="1"/>
  <c r="I15" i="1"/>
  <c r="I14" i="1"/>
  <c r="I12" i="1"/>
  <c r="I16" i="1"/>
  <c r="I13" i="1"/>
  <c r="I11" i="1"/>
  <c r="I6" i="1"/>
  <c r="I10" i="1"/>
  <c r="I9" i="1"/>
  <c r="I8" i="1"/>
  <c r="I7" i="1"/>
  <c r="H17" i="1"/>
  <c r="L10" i="1"/>
  <c r="L9" i="1"/>
  <c r="L8" i="1"/>
  <c r="L7" i="1"/>
  <c r="E6" i="1"/>
  <c r="E16" i="1"/>
  <c r="E18" i="1"/>
  <c r="E17" i="1"/>
  <c r="E14" i="1"/>
  <c r="F10" i="1"/>
  <c r="F9" i="1"/>
  <c r="F8" i="1"/>
  <c r="F7" i="1"/>
  <c r="E20" i="1"/>
  <c r="E12" i="1"/>
  <c r="E11" i="1"/>
  <c r="L19" i="2" l="1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2" i="2"/>
  <c r="I12" i="2"/>
  <c r="F12" i="2"/>
  <c r="L11" i="2"/>
  <c r="I11" i="2"/>
  <c r="F11" i="2"/>
  <c r="L6" i="2"/>
  <c r="I6" i="2"/>
  <c r="F6" i="2"/>
</calcChain>
</file>

<file path=xl/sharedStrings.xml><?xml version="1.0" encoding="utf-8"?>
<sst xmlns="http://schemas.openxmlformats.org/spreadsheetml/2006/main" count="247" uniqueCount="62">
  <si>
    <t>1</t>
  </si>
  <si>
    <t>КТП-1058</t>
  </si>
  <si>
    <t>2</t>
  </si>
  <si>
    <t>ТП-1336</t>
  </si>
  <si>
    <t>3</t>
  </si>
  <si>
    <t xml:space="preserve">КТП-2 </t>
  </si>
  <si>
    <t>4</t>
  </si>
  <si>
    <t>КТП-1</t>
  </si>
  <si>
    <t>5</t>
  </si>
  <si>
    <t>КТП-1А</t>
  </si>
  <si>
    <t>6</t>
  </si>
  <si>
    <t>ТП-2032</t>
  </si>
  <si>
    <t>7</t>
  </si>
  <si>
    <t>ТП-1548</t>
  </si>
  <si>
    <t>8</t>
  </si>
  <si>
    <t>ТП-1548А</t>
  </si>
  <si>
    <t>9</t>
  </si>
  <si>
    <t>ТП-1062</t>
  </si>
  <si>
    <t>10</t>
  </si>
  <si>
    <t>11</t>
  </si>
  <si>
    <t>ТП-084</t>
  </si>
  <si>
    <t>12</t>
  </si>
  <si>
    <t>ТП-1192</t>
  </si>
  <si>
    <t>13</t>
  </si>
  <si>
    <t>ТП-0135</t>
  </si>
  <si>
    <t>14</t>
  </si>
  <si>
    <t>ТП-1987</t>
  </si>
  <si>
    <t>№
п.п</t>
  </si>
  <si>
    <t>Объект</t>
  </si>
  <si>
    <t>Установленная мощность, кВА</t>
  </si>
  <si>
    <t>Максимальная мощность, кВт</t>
  </si>
  <si>
    <t>Фактически использованная мощность, кВт</t>
  </si>
  <si>
    <t>Резерв максимальной мощности, кВт</t>
  </si>
  <si>
    <t>СПРАВКА</t>
  </si>
  <si>
    <t>2х320</t>
  </si>
  <si>
    <t>2х400</t>
  </si>
  <si>
    <t>2х630</t>
  </si>
  <si>
    <t>Наличие возможности ТП</t>
  </si>
  <si>
    <t>ТП-1174, ТП-1174-1</t>
  </si>
  <si>
    <t>2х630, 2х400</t>
  </si>
  <si>
    <t>только после реконструкции ТП</t>
  </si>
  <si>
    <t>Резерв мощности для ТП, кВт</t>
  </si>
  <si>
    <t>о величине свободной (резервируемой) мощности по подстанциям ООО "ДСК" в 2-м кв. 2016 г</t>
  </si>
  <si>
    <t>апрель</t>
  </si>
  <si>
    <t>июнь</t>
  </si>
  <si>
    <t>май</t>
  </si>
  <si>
    <t>ТП-2175</t>
  </si>
  <si>
    <t>15</t>
  </si>
  <si>
    <t>январь</t>
  </si>
  <si>
    <t>февраль</t>
  </si>
  <si>
    <t>март</t>
  </si>
  <si>
    <t>июль</t>
  </si>
  <si>
    <t>август</t>
  </si>
  <si>
    <t>сентябрь</t>
  </si>
  <si>
    <t>ТП-1130</t>
  </si>
  <si>
    <t>1*1000,2х320</t>
  </si>
  <si>
    <t>о величине свободной (резервируемой) мощности по подстанциям ООО "ДСК" в 4-м кв. 2016 г</t>
  </si>
  <si>
    <t>о величине свободной (резервируемой) мощности по подстанциям ООО "ДСК" в 3-м кв. 2016 г</t>
  </si>
  <si>
    <t>о величине свободной (резервируемой) мощности по подстанциям ООО "ДСК" в 1-м кв. 2016 г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</si>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</sst>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0"/>
  <sheetViews>
    <sheetView zoomScale="80" zoomScaleNormal="80" workbookViewId="0">
      <selection activeCell="K6" sqref="K6:K10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5.75" customHeight="1" x14ac:dyDescent="0.25">
      <c r="A2" s="18" t="s">
        <v>58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ht="47.25" x14ac:dyDescent="0.25">
      <c r="A4" s="16" t="s">
        <v>27</v>
      </c>
      <c r="B4" s="16" t="s">
        <v>28</v>
      </c>
      <c r="C4" s="16" t="s">
        <v>29</v>
      </c>
      <c r="D4" s="16" t="s">
        <v>30</v>
      </c>
      <c r="E4" s="2" t="s">
        <v>31</v>
      </c>
      <c r="F4" s="2" t="s">
        <v>32</v>
      </c>
      <c r="G4" s="5" t="s">
        <v>41</v>
      </c>
      <c r="H4" s="2" t="s">
        <v>31</v>
      </c>
      <c r="I4" s="2" t="s">
        <v>32</v>
      </c>
      <c r="J4" s="5" t="s">
        <v>41</v>
      </c>
      <c r="K4" s="2" t="s">
        <v>31</v>
      </c>
      <c r="L4" s="2" t="s">
        <v>32</v>
      </c>
      <c r="M4" s="5" t="s">
        <v>41</v>
      </c>
      <c r="N4" s="23" t="s">
        <v>37</v>
      </c>
    </row>
    <row r="5" spans="1:14" x14ac:dyDescent="0.25">
      <c r="A5" s="15"/>
      <c r="B5" s="15"/>
      <c r="C5" s="15"/>
      <c r="D5" s="15"/>
      <c r="E5" s="20" t="s">
        <v>48</v>
      </c>
      <c r="F5" s="21"/>
      <c r="G5" s="22"/>
      <c r="H5" s="20" t="s">
        <v>49</v>
      </c>
      <c r="I5" s="21"/>
      <c r="J5" s="22"/>
      <c r="K5" s="20" t="s">
        <v>50</v>
      </c>
      <c r="L5" s="21"/>
      <c r="M5" s="22"/>
      <c r="N5" s="24"/>
    </row>
    <row r="6" spans="1:14" x14ac:dyDescent="0.25">
      <c r="A6" s="3" t="s">
        <v>0</v>
      </c>
      <c r="B6" s="4" t="s">
        <v>1</v>
      </c>
      <c r="C6" s="2" t="s">
        <v>34</v>
      </c>
      <c r="D6" s="16">
        <v>2470</v>
      </c>
      <c r="E6" s="13">
        <f>(12+108800+1960+23202)/4200*12</f>
        <v>382.78285714285715</v>
      </c>
      <c r="F6" s="13">
        <f>D6-E6</f>
        <v>2087.2171428571428</v>
      </c>
      <c r="G6" s="16">
        <v>0</v>
      </c>
      <c r="H6" s="13">
        <f>(96273+12+2240+19995+69)/4200*12</f>
        <v>338.8257142857143</v>
      </c>
      <c r="I6" s="13">
        <f>$D6-H6</f>
        <v>2131.1742857142858</v>
      </c>
      <c r="J6" s="16">
        <v>0</v>
      </c>
      <c r="K6" s="13">
        <f>(154670+972+2160+18873+506)/4200*12</f>
        <v>506.23142857142852</v>
      </c>
      <c r="L6" s="13">
        <f>D6-K6</f>
        <v>1963.7685714285715</v>
      </c>
      <c r="M6" s="16">
        <v>0</v>
      </c>
      <c r="N6" s="16" t="s">
        <v>40</v>
      </c>
    </row>
    <row r="7" spans="1:14" x14ac:dyDescent="0.25">
      <c r="A7" s="3" t="s">
        <v>2</v>
      </c>
      <c r="B7" s="4" t="s">
        <v>3</v>
      </c>
      <c r="C7" s="2" t="s">
        <v>35</v>
      </c>
      <c r="D7" s="17"/>
      <c r="E7" s="19"/>
      <c r="F7" s="17">
        <f t="shared" ref="F7:F10" si="0">D7-E7</f>
        <v>0</v>
      </c>
      <c r="G7" s="17"/>
      <c r="H7" s="19"/>
      <c r="I7" s="17">
        <f t="shared" ref="I7:I13" si="1">G7-H7</f>
        <v>0</v>
      </c>
      <c r="J7" s="17"/>
      <c r="K7" s="19"/>
      <c r="L7" s="17">
        <f t="shared" ref="L7:L13" si="2">J7-K7</f>
        <v>0</v>
      </c>
      <c r="M7" s="17"/>
      <c r="N7" s="17"/>
    </row>
    <row r="8" spans="1:14" x14ac:dyDescent="0.25">
      <c r="A8" s="3" t="s">
        <v>4</v>
      </c>
      <c r="B8" s="4" t="s">
        <v>5</v>
      </c>
      <c r="C8" s="2">
        <v>400</v>
      </c>
      <c r="D8" s="17"/>
      <c r="E8" s="19"/>
      <c r="F8" s="17">
        <f t="shared" si="0"/>
        <v>0</v>
      </c>
      <c r="G8" s="17"/>
      <c r="H8" s="19"/>
      <c r="I8" s="17">
        <f t="shared" si="1"/>
        <v>0</v>
      </c>
      <c r="J8" s="17"/>
      <c r="K8" s="19"/>
      <c r="L8" s="17">
        <f t="shared" si="2"/>
        <v>0</v>
      </c>
      <c r="M8" s="17"/>
      <c r="N8" s="17"/>
    </row>
    <row r="9" spans="1:14" x14ac:dyDescent="0.25">
      <c r="A9" s="3" t="s">
        <v>6</v>
      </c>
      <c r="B9" s="4" t="s">
        <v>7</v>
      </c>
      <c r="C9" s="2">
        <v>320</v>
      </c>
      <c r="D9" s="17"/>
      <c r="E9" s="19"/>
      <c r="F9" s="17">
        <f t="shared" si="0"/>
        <v>0</v>
      </c>
      <c r="G9" s="17"/>
      <c r="H9" s="19"/>
      <c r="I9" s="17">
        <f t="shared" si="1"/>
        <v>0</v>
      </c>
      <c r="J9" s="17"/>
      <c r="K9" s="19"/>
      <c r="L9" s="17">
        <f t="shared" si="2"/>
        <v>0</v>
      </c>
      <c r="M9" s="17"/>
      <c r="N9" s="17"/>
    </row>
    <row r="10" spans="1:14" x14ac:dyDescent="0.25">
      <c r="A10" s="3" t="s">
        <v>8</v>
      </c>
      <c r="B10" s="4" t="s">
        <v>9</v>
      </c>
      <c r="C10" s="2">
        <v>400</v>
      </c>
      <c r="D10" s="15"/>
      <c r="E10" s="14"/>
      <c r="F10" s="15">
        <f t="shared" si="0"/>
        <v>0</v>
      </c>
      <c r="G10" s="15"/>
      <c r="H10" s="14"/>
      <c r="I10" s="15">
        <f t="shared" si="1"/>
        <v>0</v>
      </c>
      <c r="J10" s="15"/>
      <c r="K10" s="14"/>
      <c r="L10" s="15">
        <f t="shared" si="2"/>
        <v>0</v>
      </c>
      <c r="M10" s="15"/>
      <c r="N10" s="15"/>
    </row>
    <row r="11" spans="1:14" ht="47.25" x14ac:dyDescent="0.25">
      <c r="A11" s="3" t="s">
        <v>10</v>
      </c>
      <c r="B11" s="4" t="s">
        <v>11</v>
      </c>
      <c r="C11" s="2" t="s">
        <v>36</v>
      </c>
      <c r="D11" s="2">
        <v>1500</v>
      </c>
      <c r="E11" s="7">
        <f>95321/4200*12</f>
        <v>272.34571428571428</v>
      </c>
      <c r="F11" s="7">
        <f>D11-E11</f>
        <v>1227.6542857142858</v>
      </c>
      <c r="G11" s="2">
        <v>0</v>
      </c>
      <c r="H11" s="7">
        <f>75617/4200*12</f>
        <v>216.04857142857142</v>
      </c>
      <c r="I11" s="7">
        <f t="shared" ref="I11" si="3">$D11-H11</f>
        <v>1283.9514285714286</v>
      </c>
      <c r="J11" s="2">
        <v>0</v>
      </c>
      <c r="K11" s="7">
        <f>(79298)/4200*12</f>
        <v>226.56571428571431</v>
      </c>
      <c r="L11" s="7">
        <f t="shared" ref="L11" si="4">D11-K11</f>
        <v>1273.4342857142856</v>
      </c>
      <c r="M11" s="2">
        <v>0</v>
      </c>
      <c r="N11" s="2" t="s">
        <v>40</v>
      </c>
    </row>
    <row r="12" spans="1:14" x14ac:dyDescent="0.25">
      <c r="A12" s="3" t="s">
        <v>12</v>
      </c>
      <c r="B12" s="4" t="s">
        <v>13</v>
      </c>
      <c r="C12" s="2" t="s">
        <v>36</v>
      </c>
      <c r="D12" s="16">
        <v>1512</v>
      </c>
      <c r="E12" s="13">
        <f>(106868+1685)/4200*12</f>
        <v>310.15142857142854</v>
      </c>
      <c r="F12" s="13">
        <f>D12-E12</f>
        <v>1201.8485714285714</v>
      </c>
      <c r="G12" s="16">
        <v>0</v>
      </c>
      <c r="H12" s="13">
        <f>(77166+1352)/4200*12</f>
        <v>224.33714285714285</v>
      </c>
      <c r="I12" s="13">
        <f>D12-H12</f>
        <v>1287.6628571428571</v>
      </c>
      <c r="J12" s="16">
        <v>0</v>
      </c>
      <c r="K12" s="13">
        <f>(120748+2312)/4200*12</f>
        <v>351.6</v>
      </c>
      <c r="L12" s="13">
        <f>D12-K12</f>
        <v>1160.4000000000001</v>
      </c>
      <c r="M12" s="16">
        <v>0</v>
      </c>
      <c r="N12" s="16" t="s">
        <v>40</v>
      </c>
    </row>
    <row r="13" spans="1:14" x14ac:dyDescent="0.25">
      <c r="A13" s="3" t="s">
        <v>14</v>
      </c>
      <c r="B13" s="4" t="s">
        <v>15</v>
      </c>
      <c r="C13" s="2" t="s">
        <v>36</v>
      </c>
      <c r="D13" s="15"/>
      <c r="E13" s="14"/>
      <c r="F13" s="15"/>
      <c r="G13" s="15"/>
      <c r="H13" s="14"/>
      <c r="I13" s="14">
        <f t="shared" si="1"/>
        <v>0</v>
      </c>
      <c r="J13" s="15"/>
      <c r="K13" s="14"/>
      <c r="L13" s="15">
        <f t="shared" si="2"/>
        <v>0</v>
      </c>
      <c r="M13" s="15"/>
      <c r="N13" s="15"/>
    </row>
    <row r="14" spans="1:14" x14ac:dyDescent="0.25">
      <c r="A14" s="3" t="s">
        <v>16</v>
      </c>
      <c r="B14" s="4" t="s">
        <v>46</v>
      </c>
      <c r="C14" s="2" t="s">
        <v>35</v>
      </c>
      <c r="D14" s="10">
        <v>328.7</v>
      </c>
      <c r="E14" s="9">
        <f>35880/4200*12</f>
        <v>102.51428571428571</v>
      </c>
      <c r="F14" s="9">
        <f t="shared" ref="F14:F20" si="5">D14-E14</f>
        <v>226.18571428571428</v>
      </c>
      <c r="G14" s="10">
        <v>0</v>
      </c>
      <c r="H14" s="9">
        <f>45840/4200*12</f>
        <v>130.97142857142859</v>
      </c>
      <c r="I14" s="9">
        <f>D14-H14</f>
        <v>197.7285714285714</v>
      </c>
      <c r="J14" s="12">
        <v>0</v>
      </c>
      <c r="K14" s="9">
        <f>25508/4200*12</f>
        <v>72.88</v>
      </c>
      <c r="L14" s="11">
        <f>D14-K14</f>
        <v>255.82</v>
      </c>
      <c r="M14" s="12">
        <v>0</v>
      </c>
      <c r="N14" s="10"/>
    </row>
    <row r="15" spans="1:14" ht="47.25" x14ac:dyDescent="0.25">
      <c r="A15" s="3" t="s">
        <v>18</v>
      </c>
      <c r="B15" s="6" t="s">
        <v>17</v>
      </c>
      <c r="C15" s="2" t="s">
        <v>36</v>
      </c>
      <c r="D15" s="2">
        <v>450</v>
      </c>
      <c r="E15" s="7">
        <f>151617/8760*12</f>
        <v>207.69452054794522</v>
      </c>
      <c r="F15" s="7">
        <f t="shared" si="5"/>
        <v>242.30547945205478</v>
      </c>
      <c r="G15" s="2">
        <v>0</v>
      </c>
      <c r="H15" s="7">
        <f>142948/8760*12</f>
        <v>195.8191780821918</v>
      </c>
      <c r="I15" s="7">
        <f>D15-H15</f>
        <v>254.1808219178082</v>
      </c>
      <c r="J15" s="2">
        <v>0</v>
      </c>
      <c r="K15" s="7">
        <f>164988/8760*12</f>
        <v>226.0109589041096</v>
      </c>
      <c r="L15" s="7">
        <f>D15-K15</f>
        <v>223.9890410958904</v>
      </c>
      <c r="M15" s="2">
        <v>0</v>
      </c>
      <c r="N15" s="2" t="s">
        <v>40</v>
      </c>
    </row>
    <row r="16" spans="1:14" ht="47.25" x14ac:dyDescent="0.25">
      <c r="A16" s="3" t="s">
        <v>19</v>
      </c>
      <c r="B16" s="6" t="s">
        <v>20</v>
      </c>
      <c r="C16" s="2">
        <v>630</v>
      </c>
      <c r="D16" s="2">
        <v>231</v>
      </c>
      <c r="E16" s="7">
        <f>47160/4200*12</f>
        <v>134.74285714285713</v>
      </c>
      <c r="F16" s="7">
        <f t="shared" si="5"/>
        <v>96.257142857142867</v>
      </c>
      <c r="G16" s="2">
        <v>144</v>
      </c>
      <c r="H16" s="7">
        <f>37320/4200*12</f>
        <v>106.62857142857143</v>
      </c>
      <c r="I16" s="7">
        <f t="shared" ref="I16" si="6">$D16-H16</f>
        <v>124.37142857142857</v>
      </c>
      <c r="J16" s="2">
        <v>144</v>
      </c>
      <c r="K16" s="7">
        <f>35280/4200*12</f>
        <v>100.80000000000001</v>
      </c>
      <c r="L16" s="7">
        <f t="shared" ref="L16" si="7">D16-K16</f>
        <v>130.19999999999999</v>
      </c>
      <c r="M16" s="2">
        <v>144</v>
      </c>
      <c r="N16" s="2" t="s">
        <v>40</v>
      </c>
    </row>
    <row r="17" spans="1:14" ht="47.25" x14ac:dyDescent="0.25">
      <c r="A17" s="3" t="s">
        <v>21</v>
      </c>
      <c r="B17" s="6" t="s">
        <v>22</v>
      </c>
      <c r="C17" s="2">
        <v>400</v>
      </c>
      <c r="D17" s="2">
        <v>250</v>
      </c>
      <c r="E17" s="7">
        <f>5149/4200*12</f>
        <v>14.71142857142857</v>
      </c>
      <c r="F17" s="7">
        <f t="shared" si="5"/>
        <v>235.28857142857143</v>
      </c>
      <c r="G17" s="2">
        <v>0</v>
      </c>
      <c r="H17" s="2">
        <f>4564/4200*12</f>
        <v>13.04</v>
      </c>
      <c r="I17" s="7">
        <f>D17-H17</f>
        <v>236.96</v>
      </c>
      <c r="J17" s="2">
        <v>0</v>
      </c>
      <c r="K17" s="7">
        <f>6436/4200*12</f>
        <v>18.388571428571428</v>
      </c>
      <c r="L17" s="7">
        <f>D17-K17</f>
        <v>231.61142857142858</v>
      </c>
      <c r="M17" s="2">
        <v>0</v>
      </c>
      <c r="N17" s="2" t="s">
        <v>40</v>
      </c>
    </row>
    <row r="18" spans="1:14" ht="47.25" x14ac:dyDescent="0.25">
      <c r="A18" s="3" t="s">
        <v>23</v>
      </c>
      <c r="B18" s="6" t="s">
        <v>24</v>
      </c>
      <c r="C18" s="2">
        <v>400</v>
      </c>
      <c r="D18" s="2">
        <v>39.1</v>
      </c>
      <c r="E18" s="7">
        <f>13600/4200*12</f>
        <v>38.857142857142861</v>
      </c>
      <c r="F18" s="7">
        <f t="shared" si="5"/>
        <v>0.24285714285714022</v>
      </c>
      <c r="G18" s="2">
        <v>199</v>
      </c>
      <c r="H18" s="7">
        <f>10640/4200*12</f>
        <v>30.4</v>
      </c>
      <c r="I18" s="7">
        <f>D18-H18</f>
        <v>8.7000000000000028</v>
      </c>
      <c r="J18" s="2">
        <v>199</v>
      </c>
      <c r="K18" s="7">
        <f>8160/4200*12</f>
        <v>23.314285714285713</v>
      </c>
      <c r="L18" s="7">
        <f>D18-K18</f>
        <v>15.785714285714288</v>
      </c>
      <c r="M18" s="2">
        <v>199</v>
      </c>
      <c r="N18" s="2" t="s">
        <v>40</v>
      </c>
    </row>
    <row r="19" spans="1:14" ht="47.25" x14ac:dyDescent="0.25">
      <c r="A19" s="3" t="s">
        <v>25</v>
      </c>
      <c r="B19" s="6" t="s">
        <v>26</v>
      </c>
      <c r="C19" s="2">
        <v>630</v>
      </c>
      <c r="D19" s="2">
        <v>500</v>
      </c>
      <c r="E19" s="7">
        <f>126736/8760*12</f>
        <v>173.61095890410957</v>
      </c>
      <c r="F19" s="7">
        <f t="shared" si="5"/>
        <v>326.38904109589043</v>
      </c>
      <c r="G19" s="2">
        <v>0</v>
      </c>
      <c r="H19" s="7">
        <f>184338/8760*12</f>
        <v>252.51780821917811</v>
      </c>
      <c r="I19" s="7">
        <f>D19-H19</f>
        <v>247.48219178082189</v>
      </c>
      <c r="J19" s="2">
        <v>0</v>
      </c>
      <c r="K19" s="7">
        <f>166532/8760*12</f>
        <v>228.12602739726026</v>
      </c>
      <c r="L19" s="7">
        <f>D19-K19</f>
        <v>271.87397260273974</v>
      </c>
      <c r="M19" s="2">
        <v>0</v>
      </c>
      <c r="N19" s="2" t="s">
        <v>40</v>
      </c>
    </row>
    <row r="20" spans="1:14" ht="47.25" x14ac:dyDescent="0.25">
      <c r="A20" s="3" t="s">
        <v>47</v>
      </c>
      <c r="B20" s="6" t="s">
        <v>38</v>
      </c>
      <c r="C20" s="2" t="s">
        <v>39</v>
      </c>
      <c r="D20" s="2">
        <v>900</v>
      </c>
      <c r="E20" s="7">
        <f>(117988+3521+665)/4200*12</f>
        <v>349.06857142857143</v>
      </c>
      <c r="F20" s="7">
        <f t="shared" si="5"/>
        <v>550.93142857142857</v>
      </c>
      <c r="G20" s="7">
        <v>0</v>
      </c>
      <c r="H20" s="7">
        <f>(84246+1004+456)/4200*12</f>
        <v>244.87428571428575</v>
      </c>
      <c r="I20" s="7">
        <f>D20-H20</f>
        <v>655.12571428571425</v>
      </c>
      <c r="J20" s="7">
        <v>0</v>
      </c>
      <c r="K20" s="7">
        <f>(42494+1004+403)/4200*12</f>
        <v>125.43142857142857</v>
      </c>
      <c r="L20" s="7">
        <f>D20-K20</f>
        <v>774.56857142857143</v>
      </c>
      <c r="M20" s="2">
        <v>0</v>
      </c>
      <c r="N20" s="2" t="s">
        <v>40</v>
      </c>
    </row>
  </sheetData>
  <mergeCells count="32">
    <mergeCell ref="K6:K10"/>
    <mergeCell ref="L6:L10"/>
    <mergeCell ref="M6:M10"/>
    <mergeCell ref="K12:K13"/>
    <mergeCell ref="L12:L13"/>
    <mergeCell ref="M12:M13"/>
    <mergeCell ref="I6:I10"/>
    <mergeCell ref="J6:J10"/>
    <mergeCell ref="H12:H13"/>
    <mergeCell ref="I12:I13"/>
    <mergeCell ref="J12:J13"/>
    <mergeCell ref="D6:D10"/>
    <mergeCell ref="A1:N1"/>
    <mergeCell ref="A2:N2"/>
    <mergeCell ref="E6:E10"/>
    <mergeCell ref="F6:F10"/>
    <mergeCell ref="G6:G10"/>
    <mergeCell ref="N6:N10"/>
    <mergeCell ref="E5:G5"/>
    <mergeCell ref="D4:D5"/>
    <mergeCell ref="C4:C5"/>
    <mergeCell ref="B4:B5"/>
    <mergeCell ref="A4:A5"/>
    <mergeCell ref="N4:N5"/>
    <mergeCell ref="H5:J5"/>
    <mergeCell ref="K5:M5"/>
    <mergeCell ref="H6:H10"/>
    <mergeCell ref="E12:E13"/>
    <mergeCell ref="F12:F13"/>
    <mergeCell ref="G12:G13"/>
    <mergeCell ref="N12:N13"/>
    <mergeCell ref="D12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8" zoomScale="85" zoomScaleNormal="85" workbookViewId="0">
      <selection activeCell="G17" sqref="G17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5.75" customHeight="1" x14ac:dyDescent="0.25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ht="47.25" x14ac:dyDescent="0.25">
      <c r="A4" s="16" t="s">
        <v>27</v>
      </c>
      <c r="B4" s="16" t="s">
        <v>28</v>
      </c>
      <c r="C4" s="16" t="s">
        <v>29</v>
      </c>
      <c r="D4" s="16" t="s">
        <v>30</v>
      </c>
      <c r="E4" s="2" t="s">
        <v>31</v>
      </c>
      <c r="F4" s="2" t="s">
        <v>32</v>
      </c>
      <c r="G4" s="5" t="s">
        <v>41</v>
      </c>
      <c r="H4" s="2" t="s">
        <v>31</v>
      </c>
      <c r="I4" s="2" t="s">
        <v>32</v>
      </c>
      <c r="J4" s="5" t="s">
        <v>41</v>
      </c>
      <c r="K4" s="2" t="s">
        <v>31</v>
      </c>
      <c r="L4" s="2" t="s">
        <v>32</v>
      </c>
      <c r="M4" s="5" t="s">
        <v>41</v>
      </c>
      <c r="N4" s="23" t="s">
        <v>37</v>
      </c>
    </row>
    <row r="5" spans="1:14" x14ac:dyDescent="0.25">
      <c r="A5" s="15"/>
      <c r="B5" s="15"/>
      <c r="C5" s="15"/>
      <c r="D5" s="15"/>
      <c r="E5" s="20" t="s">
        <v>43</v>
      </c>
      <c r="F5" s="21"/>
      <c r="G5" s="22"/>
      <c r="H5" s="20" t="s">
        <v>45</v>
      </c>
      <c r="I5" s="21"/>
      <c r="J5" s="22"/>
      <c r="K5" s="20" t="s">
        <v>44</v>
      </c>
      <c r="L5" s="21"/>
      <c r="M5" s="22"/>
      <c r="N5" s="24"/>
    </row>
    <row r="6" spans="1:14" x14ac:dyDescent="0.25">
      <c r="A6" s="3" t="s">
        <v>0</v>
      </c>
      <c r="B6" s="4" t="s">
        <v>1</v>
      </c>
      <c r="C6" s="2" t="s">
        <v>34</v>
      </c>
      <c r="D6" s="16">
        <v>2470</v>
      </c>
      <c r="E6" s="13">
        <v>288</v>
      </c>
      <c r="F6" s="13">
        <f>D6-E6</f>
        <v>2182</v>
      </c>
      <c r="G6" s="16">
        <v>0</v>
      </c>
      <c r="H6" s="13">
        <v>400</v>
      </c>
      <c r="I6" s="13">
        <f>D6-H6</f>
        <v>2070</v>
      </c>
      <c r="J6" s="16">
        <v>0</v>
      </c>
      <c r="K6" s="13">
        <v>384</v>
      </c>
      <c r="L6" s="13">
        <f>D6-K6</f>
        <v>2086</v>
      </c>
      <c r="M6" s="16">
        <v>0</v>
      </c>
      <c r="N6" s="16" t="s">
        <v>40</v>
      </c>
    </row>
    <row r="7" spans="1:14" x14ac:dyDescent="0.25">
      <c r="A7" s="3" t="s">
        <v>2</v>
      </c>
      <c r="B7" s="4" t="s">
        <v>3</v>
      </c>
      <c r="C7" s="2" t="s">
        <v>35</v>
      </c>
      <c r="D7" s="17"/>
      <c r="E7" s="19"/>
      <c r="F7" s="17"/>
      <c r="G7" s="17"/>
      <c r="H7" s="19"/>
      <c r="I7" s="17"/>
      <c r="J7" s="17"/>
      <c r="K7" s="19"/>
      <c r="L7" s="17"/>
      <c r="M7" s="17"/>
      <c r="N7" s="17"/>
    </row>
    <row r="8" spans="1:14" x14ac:dyDescent="0.25">
      <c r="A8" s="3" t="s">
        <v>4</v>
      </c>
      <c r="B8" s="4" t="s">
        <v>5</v>
      </c>
      <c r="C8" s="2">
        <v>400</v>
      </c>
      <c r="D8" s="17"/>
      <c r="E8" s="19"/>
      <c r="F8" s="17"/>
      <c r="G8" s="17"/>
      <c r="H8" s="19"/>
      <c r="I8" s="17"/>
      <c r="J8" s="17"/>
      <c r="K8" s="19"/>
      <c r="L8" s="17"/>
      <c r="M8" s="17"/>
      <c r="N8" s="17"/>
    </row>
    <row r="9" spans="1:14" x14ac:dyDescent="0.25">
      <c r="A9" s="3" t="s">
        <v>6</v>
      </c>
      <c r="B9" s="4" t="s">
        <v>7</v>
      </c>
      <c r="C9" s="2">
        <v>320</v>
      </c>
      <c r="D9" s="17"/>
      <c r="E9" s="19"/>
      <c r="F9" s="17"/>
      <c r="G9" s="17"/>
      <c r="H9" s="19"/>
      <c r="I9" s="17"/>
      <c r="J9" s="17"/>
      <c r="K9" s="19"/>
      <c r="L9" s="17"/>
      <c r="M9" s="17"/>
      <c r="N9" s="17"/>
    </row>
    <row r="10" spans="1:14" x14ac:dyDescent="0.25">
      <c r="A10" s="3" t="s">
        <v>8</v>
      </c>
      <c r="B10" s="4" t="s">
        <v>9</v>
      </c>
      <c r="C10" s="2">
        <v>400</v>
      </c>
      <c r="D10" s="15"/>
      <c r="E10" s="14"/>
      <c r="F10" s="15"/>
      <c r="G10" s="15"/>
      <c r="H10" s="14"/>
      <c r="I10" s="15"/>
      <c r="J10" s="15"/>
      <c r="K10" s="14"/>
      <c r="L10" s="15"/>
      <c r="M10" s="15"/>
      <c r="N10" s="15"/>
    </row>
    <row r="11" spans="1:14" ht="47.25" x14ac:dyDescent="0.25">
      <c r="A11" s="3" t="s">
        <v>10</v>
      </c>
      <c r="B11" s="4" t="s">
        <v>11</v>
      </c>
      <c r="C11" s="2" t="s">
        <v>36</v>
      </c>
      <c r="D11" s="2">
        <v>1500</v>
      </c>
      <c r="E11" s="7">
        <v>221</v>
      </c>
      <c r="F11" s="7">
        <f>D11-E11</f>
        <v>1279</v>
      </c>
      <c r="G11" s="2">
        <v>0</v>
      </c>
      <c r="H11" s="7">
        <v>219</v>
      </c>
      <c r="I11" s="7">
        <f>D11-H11</f>
        <v>1281</v>
      </c>
      <c r="J11" s="2">
        <v>0</v>
      </c>
      <c r="K11" s="7">
        <v>190</v>
      </c>
      <c r="L11" s="7">
        <f>D11-K11</f>
        <v>1310</v>
      </c>
      <c r="M11" s="2">
        <v>0</v>
      </c>
      <c r="N11" s="2" t="s">
        <v>40</v>
      </c>
    </row>
    <row r="12" spans="1:14" x14ac:dyDescent="0.25">
      <c r="A12" s="3" t="s">
        <v>12</v>
      </c>
      <c r="B12" s="4" t="s">
        <v>13</v>
      </c>
      <c r="C12" s="2" t="s">
        <v>36</v>
      </c>
      <c r="D12" s="16">
        <v>1512</v>
      </c>
      <c r="E12" s="13">
        <v>195</v>
      </c>
      <c r="F12" s="13">
        <f>D12-E12</f>
        <v>1317</v>
      </c>
      <c r="G12" s="16">
        <v>0</v>
      </c>
      <c r="H12" s="13">
        <v>324</v>
      </c>
      <c r="I12" s="13">
        <f>D12-H12</f>
        <v>1188</v>
      </c>
      <c r="J12" s="16">
        <v>0</v>
      </c>
      <c r="K12" s="13">
        <v>265</v>
      </c>
      <c r="L12" s="13">
        <f>D12-K12</f>
        <v>1247</v>
      </c>
      <c r="M12" s="16">
        <v>0</v>
      </c>
      <c r="N12" s="16" t="s">
        <v>40</v>
      </c>
    </row>
    <row r="13" spans="1:14" x14ac:dyDescent="0.25">
      <c r="A13" s="3" t="s">
        <v>14</v>
      </c>
      <c r="B13" s="4" t="s">
        <v>15</v>
      </c>
      <c r="C13" s="2" t="s">
        <v>36</v>
      </c>
      <c r="D13" s="15"/>
      <c r="E13" s="14"/>
      <c r="F13" s="15"/>
      <c r="G13" s="15"/>
      <c r="H13" s="14"/>
      <c r="I13" s="14"/>
      <c r="J13" s="15"/>
      <c r="K13" s="14"/>
      <c r="L13" s="14"/>
      <c r="M13" s="15"/>
      <c r="N13" s="15"/>
    </row>
    <row r="14" spans="1:14" ht="47.25" x14ac:dyDescent="0.25">
      <c r="A14" s="3" t="s">
        <v>16</v>
      </c>
      <c r="B14" s="6" t="s">
        <v>17</v>
      </c>
      <c r="C14" s="2" t="s">
        <v>36</v>
      </c>
      <c r="D14" s="2">
        <v>450</v>
      </c>
      <c r="E14" s="7">
        <v>389</v>
      </c>
      <c r="F14" s="7">
        <f>D14-E14</f>
        <v>61</v>
      </c>
      <c r="G14" s="2">
        <v>0</v>
      </c>
      <c r="H14" s="7">
        <v>358</v>
      </c>
      <c r="I14" s="7">
        <f t="shared" ref="I14:I19" si="0">D14-H14</f>
        <v>92</v>
      </c>
      <c r="J14" s="2">
        <v>0</v>
      </c>
      <c r="K14" s="7">
        <v>448</v>
      </c>
      <c r="L14" s="7">
        <f t="shared" ref="L14:L19" si="1">D14-K14</f>
        <v>2</v>
      </c>
      <c r="M14" s="2">
        <v>0</v>
      </c>
      <c r="N14" s="2" t="s">
        <v>40</v>
      </c>
    </row>
    <row r="15" spans="1:14" ht="47.25" x14ac:dyDescent="0.25">
      <c r="A15" s="3" t="s">
        <v>18</v>
      </c>
      <c r="B15" s="6" t="s">
        <v>20</v>
      </c>
      <c r="C15" s="2">
        <v>630</v>
      </c>
      <c r="D15" s="2">
        <v>231</v>
      </c>
      <c r="E15" s="7">
        <v>118</v>
      </c>
      <c r="F15" s="7">
        <f t="shared" ref="F15:F19" si="2">D15-E15</f>
        <v>113</v>
      </c>
      <c r="G15" s="2">
        <v>144</v>
      </c>
      <c r="H15" s="7">
        <v>49</v>
      </c>
      <c r="I15" s="7">
        <f t="shared" si="0"/>
        <v>182</v>
      </c>
      <c r="J15" s="2">
        <v>144</v>
      </c>
      <c r="K15" s="7">
        <v>43</v>
      </c>
      <c r="L15" s="7">
        <f t="shared" si="1"/>
        <v>188</v>
      </c>
      <c r="M15" s="2">
        <v>144</v>
      </c>
      <c r="N15" s="2" t="s">
        <v>40</v>
      </c>
    </row>
    <row r="16" spans="1:14" ht="47.25" x14ac:dyDescent="0.25">
      <c r="A16" s="3" t="s">
        <v>19</v>
      </c>
      <c r="B16" s="6" t="s">
        <v>22</v>
      </c>
      <c r="C16" s="2">
        <v>400</v>
      </c>
      <c r="D16" s="2">
        <v>250</v>
      </c>
      <c r="E16" s="7">
        <v>19</v>
      </c>
      <c r="F16" s="7">
        <f t="shared" si="2"/>
        <v>231</v>
      </c>
      <c r="G16" s="2">
        <v>0</v>
      </c>
      <c r="H16" s="7">
        <v>15</v>
      </c>
      <c r="I16" s="7">
        <f t="shared" si="0"/>
        <v>235</v>
      </c>
      <c r="J16" s="2">
        <v>0</v>
      </c>
      <c r="K16" s="7">
        <v>25</v>
      </c>
      <c r="L16" s="7">
        <f t="shared" si="1"/>
        <v>225</v>
      </c>
      <c r="M16" s="2">
        <v>0</v>
      </c>
      <c r="N16" s="2" t="s">
        <v>40</v>
      </c>
    </row>
    <row r="17" spans="1:14" ht="47.25" x14ac:dyDescent="0.25">
      <c r="A17" s="3" t="s">
        <v>21</v>
      </c>
      <c r="B17" s="6" t="s">
        <v>24</v>
      </c>
      <c r="C17" s="2">
        <v>400</v>
      </c>
      <c r="D17" s="2">
        <v>39.1</v>
      </c>
      <c r="E17" s="7">
        <v>24</v>
      </c>
      <c r="F17" s="7">
        <f t="shared" si="2"/>
        <v>15.100000000000001</v>
      </c>
      <c r="G17" s="2">
        <v>199</v>
      </c>
      <c r="H17" s="7">
        <v>11</v>
      </c>
      <c r="I17" s="7">
        <f t="shared" si="0"/>
        <v>28.1</v>
      </c>
      <c r="J17" s="2">
        <v>199</v>
      </c>
      <c r="K17" s="7">
        <v>9</v>
      </c>
      <c r="L17" s="7">
        <f t="shared" si="1"/>
        <v>30.1</v>
      </c>
      <c r="M17" s="2">
        <v>199</v>
      </c>
      <c r="N17" s="2" t="s">
        <v>40</v>
      </c>
    </row>
    <row r="18" spans="1:14" ht="47.25" x14ac:dyDescent="0.25">
      <c r="A18" s="3" t="s">
        <v>23</v>
      </c>
      <c r="B18" s="6" t="s">
        <v>26</v>
      </c>
      <c r="C18" s="2">
        <v>630</v>
      </c>
      <c r="D18" s="2">
        <v>500</v>
      </c>
      <c r="E18" s="7">
        <v>307</v>
      </c>
      <c r="F18" s="7">
        <f t="shared" si="2"/>
        <v>193</v>
      </c>
      <c r="G18" s="2">
        <v>0</v>
      </c>
      <c r="H18" s="7">
        <v>372</v>
      </c>
      <c r="I18" s="7">
        <f t="shared" si="0"/>
        <v>128</v>
      </c>
      <c r="J18" s="2">
        <v>0</v>
      </c>
      <c r="K18" s="7">
        <v>451</v>
      </c>
      <c r="L18" s="7">
        <f t="shared" si="1"/>
        <v>49</v>
      </c>
      <c r="M18" s="2">
        <v>0</v>
      </c>
      <c r="N18" s="2" t="s">
        <v>40</v>
      </c>
    </row>
    <row r="19" spans="1:14" ht="47.25" x14ac:dyDescent="0.25">
      <c r="A19" s="3" t="s">
        <v>25</v>
      </c>
      <c r="B19" s="6" t="s">
        <v>38</v>
      </c>
      <c r="C19" s="2" t="s">
        <v>39</v>
      </c>
      <c r="D19" s="2">
        <v>900</v>
      </c>
      <c r="E19" s="2">
        <v>215</v>
      </c>
      <c r="F19" s="7">
        <f t="shared" si="2"/>
        <v>685</v>
      </c>
      <c r="G19" s="2">
        <v>0</v>
      </c>
      <c r="H19" s="2">
        <v>58</v>
      </c>
      <c r="I19" s="7">
        <f t="shared" si="0"/>
        <v>842</v>
      </c>
      <c r="J19" s="2">
        <v>0</v>
      </c>
      <c r="K19" s="2">
        <v>52</v>
      </c>
      <c r="L19" s="7">
        <f t="shared" si="1"/>
        <v>848</v>
      </c>
      <c r="M19" s="2">
        <v>0</v>
      </c>
      <c r="N19" s="2" t="s">
        <v>40</v>
      </c>
    </row>
  </sheetData>
  <mergeCells count="32"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  <mergeCell ref="D12:D13"/>
    <mergeCell ref="E12:E13"/>
    <mergeCell ref="F12:F13"/>
    <mergeCell ref="G12:G13"/>
    <mergeCell ref="H12:H13"/>
    <mergeCell ref="N12:N13"/>
    <mergeCell ref="J6:J10"/>
    <mergeCell ref="K6:K10"/>
    <mergeCell ref="L6:L10"/>
    <mergeCell ref="M6:M10"/>
    <mergeCell ref="N6:N10"/>
    <mergeCell ref="I12:I13"/>
    <mergeCell ref="J12:J13"/>
    <mergeCell ref="K12:K13"/>
    <mergeCell ref="L12:L13"/>
    <mergeCell ref="M12:M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9"/>
  <sheetViews>
    <sheetView zoomScale="70" zoomScaleNormal="70" workbookViewId="0">
      <selection activeCell="E6" sqref="E6:E10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5.75" customHeight="1" x14ac:dyDescent="0.25">
      <c r="A2" s="18" t="s">
        <v>57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ht="47.25" x14ac:dyDescent="0.25">
      <c r="A4" s="16" t="s">
        <v>27</v>
      </c>
      <c r="B4" s="16" t="s">
        <v>28</v>
      </c>
      <c r="C4" s="16" t="s">
        <v>29</v>
      </c>
      <c r="D4" s="16" t="s">
        <v>30</v>
      </c>
      <c r="E4" s="2" t="s">
        <v>31</v>
      </c>
      <c r="F4" s="2" t="s">
        <v>32</v>
      </c>
      <c r="G4" s="5" t="s">
        <v>41</v>
      </c>
      <c r="H4" s="2" t="s">
        <v>31</v>
      </c>
      <c r="I4" s="2" t="s">
        <v>32</v>
      </c>
      <c r="J4" s="5" t="s">
        <v>41</v>
      </c>
      <c r="K4" s="2" t="s">
        <v>31</v>
      </c>
      <c r="L4" s="2" t="s">
        <v>32</v>
      </c>
      <c r="M4" s="5" t="s">
        <v>41</v>
      </c>
      <c r="N4" s="23" t="s">
        <v>37</v>
      </c>
    </row>
    <row r="5" spans="1:14" x14ac:dyDescent="0.25">
      <c r="A5" s="15"/>
      <c r="B5" s="15"/>
      <c r="C5" s="15"/>
      <c r="D5" s="15"/>
      <c r="E5" s="20" t="s">
        <v>51</v>
      </c>
      <c r="F5" s="21"/>
      <c r="G5" s="22"/>
      <c r="H5" s="20" t="s">
        <v>52</v>
      </c>
      <c r="I5" s="21"/>
      <c r="J5" s="22"/>
      <c r="K5" s="20" t="s">
        <v>53</v>
      </c>
      <c r="L5" s="21"/>
      <c r="M5" s="22"/>
      <c r="N5" s="24"/>
    </row>
    <row r="6" spans="1:14" x14ac:dyDescent="0.25">
      <c r="A6" s="3" t="s">
        <v>0</v>
      </c>
      <c r="B6" s="4" t="s">
        <v>1</v>
      </c>
      <c r="C6" s="2" t="s">
        <v>34</v>
      </c>
      <c r="D6" s="16">
        <v>2470</v>
      </c>
      <c r="E6" s="13">
        <f>(154003+2448+2920+3059)/4200*12</f>
        <v>464.08571428571429</v>
      </c>
      <c r="F6" s="13">
        <f>$D6-E6</f>
        <v>2005.9142857142856</v>
      </c>
      <c r="G6" s="16">
        <v>0</v>
      </c>
      <c r="H6" s="13">
        <f>(138538+12+3240+3127+5397)/4200*12</f>
        <v>429.46857142857147</v>
      </c>
      <c r="I6" s="13">
        <f>$D6-H6</f>
        <v>2040.5314285714285</v>
      </c>
      <c r="J6" s="16">
        <v>0</v>
      </c>
      <c r="K6" s="13">
        <f>(128821+24+2640+2891+0)/4200*12</f>
        <v>383.93142857142857</v>
      </c>
      <c r="L6" s="13">
        <f>$D6-K6</f>
        <v>2086.0685714285714</v>
      </c>
      <c r="M6" s="16">
        <v>0</v>
      </c>
      <c r="N6" s="16" t="s">
        <v>40</v>
      </c>
    </row>
    <row r="7" spans="1:14" x14ac:dyDescent="0.25">
      <c r="A7" s="3" t="s">
        <v>2</v>
      </c>
      <c r="B7" s="4" t="s">
        <v>3</v>
      </c>
      <c r="C7" s="2" t="s">
        <v>35</v>
      </c>
      <c r="D7" s="17"/>
      <c r="E7" s="19"/>
      <c r="F7" s="17"/>
      <c r="G7" s="17"/>
      <c r="H7" s="19"/>
      <c r="I7" s="17"/>
      <c r="J7" s="17"/>
      <c r="K7" s="19"/>
      <c r="L7" s="17"/>
      <c r="M7" s="17"/>
      <c r="N7" s="17"/>
    </row>
    <row r="8" spans="1:14" x14ac:dyDescent="0.25">
      <c r="A8" s="3" t="s">
        <v>4</v>
      </c>
      <c r="B8" s="4" t="s">
        <v>5</v>
      </c>
      <c r="C8" s="2">
        <v>400</v>
      </c>
      <c r="D8" s="17"/>
      <c r="E8" s="19"/>
      <c r="F8" s="17"/>
      <c r="G8" s="17"/>
      <c r="H8" s="19"/>
      <c r="I8" s="17"/>
      <c r="J8" s="17"/>
      <c r="K8" s="19"/>
      <c r="L8" s="17"/>
      <c r="M8" s="17"/>
      <c r="N8" s="17"/>
    </row>
    <row r="9" spans="1:14" x14ac:dyDescent="0.25">
      <c r="A9" s="3" t="s">
        <v>6</v>
      </c>
      <c r="B9" s="4" t="s">
        <v>7</v>
      </c>
      <c r="C9" s="2">
        <v>320</v>
      </c>
      <c r="D9" s="17"/>
      <c r="E9" s="19"/>
      <c r="F9" s="17"/>
      <c r="G9" s="17"/>
      <c r="H9" s="19"/>
      <c r="I9" s="17"/>
      <c r="J9" s="17"/>
      <c r="K9" s="19"/>
      <c r="L9" s="17"/>
      <c r="M9" s="17"/>
      <c r="N9" s="17"/>
    </row>
    <row r="10" spans="1:14" x14ac:dyDescent="0.25">
      <c r="A10" s="3" t="s">
        <v>8</v>
      </c>
      <c r="B10" s="4" t="s">
        <v>9</v>
      </c>
      <c r="C10" s="2">
        <v>400</v>
      </c>
      <c r="D10" s="15"/>
      <c r="E10" s="14"/>
      <c r="F10" s="15"/>
      <c r="G10" s="15"/>
      <c r="H10" s="14"/>
      <c r="I10" s="15"/>
      <c r="J10" s="15"/>
      <c r="K10" s="14"/>
      <c r="L10" s="15"/>
      <c r="M10" s="15"/>
      <c r="N10" s="15"/>
    </row>
    <row r="11" spans="1:14" ht="47.25" x14ac:dyDescent="0.25">
      <c r="A11" s="3" t="s">
        <v>10</v>
      </c>
      <c r="B11" s="4" t="s">
        <v>11</v>
      </c>
      <c r="C11" s="2" t="s">
        <v>36</v>
      </c>
      <c r="D11" s="2">
        <v>1500</v>
      </c>
      <c r="E11" s="7">
        <f>(77314+0)/4200*12</f>
        <v>220.89714285714285</v>
      </c>
      <c r="F11" s="7">
        <f>$D11-E11</f>
        <v>1279.1028571428571</v>
      </c>
      <c r="G11" s="2">
        <v>0</v>
      </c>
      <c r="H11" s="7">
        <f>71731/4200*12</f>
        <v>204.9457142857143</v>
      </c>
      <c r="I11" s="7">
        <f>$D11-H11</f>
        <v>1295.0542857142857</v>
      </c>
      <c r="J11" s="2">
        <v>0</v>
      </c>
      <c r="K11" s="7">
        <f>60988/4200*12</f>
        <v>174.25142857142856</v>
      </c>
      <c r="L11" s="7">
        <f>$D11-K11</f>
        <v>1325.7485714285715</v>
      </c>
      <c r="M11" s="2">
        <v>0</v>
      </c>
      <c r="N11" s="2" t="s">
        <v>40</v>
      </c>
    </row>
    <row r="12" spans="1:14" x14ac:dyDescent="0.25">
      <c r="A12" s="3" t="s">
        <v>12</v>
      </c>
      <c r="B12" s="4" t="s">
        <v>13</v>
      </c>
      <c r="C12" s="2" t="s">
        <v>36</v>
      </c>
      <c r="D12" s="16">
        <v>1512</v>
      </c>
      <c r="E12" s="13">
        <f>(83428+586)/4200*12</f>
        <v>240.04000000000002</v>
      </c>
      <c r="F12" s="13">
        <f>$D12-E12</f>
        <v>1271.96</v>
      </c>
      <c r="G12" s="16">
        <v>0</v>
      </c>
      <c r="H12" s="13">
        <f>(98346+489)/4200*12</f>
        <v>282.3857142857143</v>
      </c>
      <c r="I12" s="13">
        <f>$D12-H12</f>
        <v>1229.6142857142856</v>
      </c>
      <c r="J12" s="16">
        <v>0</v>
      </c>
      <c r="K12" s="13">
        <f>(92829+630)/4200*12</f>
        <v>267.02571428571429</v>
      </c>
      <c r="L12" s="13">
        <f>$D12-K12</f>
        <v>1244.9742857142858</v>
      </c>
      <c r="M12" s="16">
        <v>0</v>
      </c>
      <c r="N12" s="16" t="s">
        <v>40</v>
      </c>
    </row>
    <row r="13" spans="1:14" x14ac:dyDescent="0.25">
      <c r="A13" s="3" t="s">
        <v>14</v>
      </c>
      <c r="B13" s="4" t="s">
        <v>15</v>
      </c>
      <c r="C13" s="2" t="s">
        <v>36</v>
      </c>
      <c r="D13" s="15"/>
      <c r="E13" s="14"/>
      <c r="F13" s="15"/>
      <c r="G13" s="15"/>
      <c r="H13" s="14"/>
      <c r="I13" s="15"/>
      <c r="J13" s="15"/>
      <c r="K13" s="14"/>
      <c r="L13" s="15"/>
      <c r="M13" s="15"/>
      <c r="N13" s="15"/>
    </row>
    <row r="14" spans="1:14" ht="47.25" x14ac:dyDescent="0.25">
      <c r="A14" s="3" t="s">
        <v>16</v>
      </c>
      <c r="B14" s="6" t="s">
        <v>17</v>
      </c>
      <c r="C14" s="2" t="s">
        <v>36</v>
      </c>
      <c r="D14" s="2">
        <v>450</v>
      </c>
      <c r="E14" s="7">
        <f>300238/8760*12</f>
        <v>411.28493150684938</v>
      </c>
      <c r="F14" s="7">
        <f t="shared" ref="F14:F19" si="0">$D14-E14</f>
        <v>38.715068493150625</v>
      </c>
      <c r="G14" s="2">
        <v>0</v>
      </c>
      <c r="H14" s="7">
        <f>317153/8760*12</f>
        <v>434.4561643835616</v>
      </c>
      <c r="I14" s="7">
        <f t="shared" ref="I14:I19" si="1">$D14-H14</f>
        <v>15.5438356164384</v>
      </c>
      <c r="J14" s="2">
        <v>0</v>
      </c>
      <c r="K14" s="7">
        <f>280509/8760*12</f>
        <v>384.25890410958903</v>
      </c>
      <c r="L14" s="7">
        <f t="shared" ref="L14:L19" si="2">$D14-K14</f>
        <v>65.741095890410975</v>
      </c>
      <c r="M14" s="2">
        <v>0</v>
      </c>
      <c r="N14" s="2" t="s">
        <v>40</v>
      </c>
    </row>
    <row r="15" spans="1:14" ht="47.25" x14ac:dyDescent="0.25">
      <c r="A15" s="3">
        <v>10</v>
      </c>
      <c r="B15" s="6" t="s">
        <v>22</v>
      </c>
      <c r="C15" s="2">
        <v>400</v>
      </c>
      <c r="D15" s="2">
        <v>250</v>
      </c>
      <c r="E15" s="7">
        <f>8660/4200*12</f>
        <v>24.74285714285714</v>
      </c>
      <c r="F15" s="7">
        <f t="shared" si="0"/>
        <v>225.25714285714287</v>
      </c>
      <c r="G15" s="2">
        <v>0</v>
      </c>
      <c r="H15" s="7">
        <f>10532/4200*12</f>
        <v>30.091428571428569</v>
      </c>
      <c r="I15" s="7">
        <f t="shared" si="1"/>
        <v>219.90857142857143</v>
      </c>
      <c r="J15" s="2">
        <v>0</v>
      </c>
      <c r="K15" s="7">
        <f>8075/4200*12</f>
        <v>23.071428571428573</v>
      </c>
      <c r="L15" s="7">
        <f t="shared" si="2"/>
        <v>226.92857142857142</v>
      </c>
      <c r="M15" s="2">
        <v>0</v>
      </c>
      <c r="N15" s="2" t="s">
        <v>40</v>
      </c>
    </row>
    <row r="16" spans="1:14" ht="47.25" x14ac:dyDescent="0.25">
      <c r="A16" s="3">
        <v>11</v>
      </c>
      <c r="B16" s="6" t="s">
        <v>24</v>
      </c>
      <c r="C16" s="2">
        <v>400</v>
      </c>
      <c r="D16" s="2">
        <v>39.1</v>
      </c>
      <c r="E16" s="7">
        <f>2880/4200*12</f>
        <v>8.2285714285714278</v>
      </c>
      <c r="F16" s="7">
        <f t="shared" si="0"/>
        <v>30.871428571428574</v>
      </c>
      <c r="G16" s="2">
        <v>199</v>
      </c>
      <c r="H16" s="7">
        <f>3440/4200*12</f>
        <v>9.8285714285714292</v>
      </c>
      <c r="I16" s="7">
        <f t="shared" si="1"/>
        <v>29.271428571428572</v>
      </c>
      <c r="J16" s="2">
        <v>199</v>
      </c>
      <c r="K16" s="7">
        <f>3200/4200*12</f>
        <v>9.1428571428571423</v>
      </c>
      <c r="L16" s="7">
        <f t="shared" si="2"/>
        <v>29.957142857142859</v>
      </c>
      <c r="M16" s="2">
        <v>199</v>
      </c>
      <c r="N16" s="2" t="s">
        <v>40</v>
      </c>
    </row>
    <row r="17" spans="1:14" ht="47.25" x14ac:dyDescent="0.25">
      <c r="A17" s="3">
        <v>12</v>
      </c>
      <c r="B17" s="6" t="s">
        <v>26</v>
      </c>
      <c r="C17" s="2">
        <v>630</v>
      </c>
      <c r="D17" s="2">
        <v>500</v>
      </c>
      <c r="E17" s="7">
        <f>188539/8760*12</f>
        <v>258.27260273972604</v>
      </c>
      <c r="F17" s="7">
        <f t="shared" si="0"/>
        <v>241.72739726027396</v>
      </c>
      <c r="G17" s="2">
        <v>0</v>
      </c>
      <c r="H17" s="7">
        <f>192414/8760*12</f>
        <v>263.58082191780824</v>
      </c>
      <c r="I17" s="7">
        <f t="shared" si="1"/>
        <v>236.41917808219176</v>
      </c>
      <c r="J17" s="2">
        <v>0</v>
      </c>
      <c r="K17" s="7">
        <f>138794/8760*12</f>
        <v>190.12876712328767</v>
      </c>
      <c r="L17" s="7">
        <f t="shared" si="2"/>
        <v>309.87123287671233</v>
      </c>
      <c r="M17" s="2">
        <v>0</v>
      </c>
      <c r="N17" s="2" t="s">
        <v>40</v>
      </c>
    </row>
    <row r="18" spans="1:14" ht="47.25" x14ac:dyDescent="0.25">
      <c r="A18" s="3">
        <v>13</v>
      </c>
      <c r="B18" s="6" t="s">
        <v>38</v>
      </c>
      <c r="C18" s="2" t="s">
        <v>39</v>
      </c>
      <c r="D18" s="2">
        <v>900</v>
      </c>
      <c r="E18" s="7">
        <f>(35489+1004)/4200*12</f>
        <v>104.2657142857143</v>
      </c>
      <c r="F18" s="7">
        <f t="shared" si="0"/>
        <v>795.73428571428576</v>
      </c>
      <c r="G18" s="7">
        <v>0</v>
      </c>
      <c r="H18" s="7">
        <f>(26549+2511)/4200*12</f>
        <v>83.028571428571439</v>
      </c>
      <c r="I18" s="7">
        <f t="shared" si="1"/>
        <v>816.97142857142853</v>
      </c>
      <c r="J18" s="7">
        <v>0</v>
      </c>
      <c r="K18" s="7">
        <f>(16221+2621)/4200*12</f>
        <v>53.834285714285713</v>
      </c>
      <c r="L18" s="7">
        <f t="shared" si="2"/>
        <v>846.16571428571433</v>
      </c>
      <c r="M18" s="2">
        <v>0</v>
      </c>
      <c r="N18" s="2" t="s">
        <v>40</v>
      </c>
    </row>
    <row r="19" spans="1:14" ht="47.25" x14ac:dyDescent="0.25">
      <c r="A19" s="3">
        <v>14</v>
      </c>
      <c r="B19" s="6" t="s">
        <v>54</v>
      </c>
      <c r="C19" s="2" t="s">
        <v>55</v>
      </c>
      <c r="D19" s="2">
        <v>400</v>
      </c>
      <c r="E19" s="7">
        <f>(13968+795+2189+398)/4200*12</f>
        <v>49.571428571428577</v>
      </c>
      <c r="F19" s="7">
        <f t="shared" si="0"/>
        <v>350.42857142857144</v>
      </c>
      <c r="G19" s="7">
        <v>0</v>
      </c>
      <c r="H19" s="7">
        <f>(15616+928+1514+476)/4200*12</f>
        <v>52.954285714285717</v>
      </c>
      <c r="I19" s="7">
        <f t="shared" si="1"/>
        <v>347.04571428571427</v>
      </c>
      <c r="J19" s="7">
        <v>0</v>
      </c>
      <c r="K19" s="7">
        <f>(13515+863+1420+564)/4200*12</f>
        <v>46.748571428571431</v>
      </c>
      <c r="L19" s="7">
        <f t="shared" si="2"/>
        <v>353.25142857142856</v>
      </c>
      <c r="M19" s="2">
        <v>0</v>
      </c>
      <c r="N19" s="2" t="s">
        <v>40</v>
      </c>
    </row>
  </sheetData>
  <mergeCells count="32"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  <mergeCell ref="D12:D13"/>
    <mergeCell ref="E12:E13"/>
    <mergeCell ref="F12:F13"/>
    <mergeCell ref="G12:G13"/>
    <mergeCell ref="H12:H13"/>
    <mergeCell ref="N12:N13"/>
    <mergeCell ref="J6:J10"/>
    <mergeCell ref="K6:K10"/>
    <mergeCell ref="L6:L10"/>
    <mergeCell ref="M6:M10"/>
    <mergeCell ref="N6:N10"/>
    <mergeCell ref="I12:I13"/>
    <mergeCell ref="J12:J13"/>
    <mergeCell ref="K12:K13"/>
    <mergeCell ref="L12:L13"/>
    <mergeCell ref="M12:M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70" zoomScaleNormal="70" workbookViewId="0">
      <selection activeCell="M16" sqref="M16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5.75" customHeight="1" x14ac:dyDescent="0.25">
      <c r="A2" s="18" t="s">
        <v>56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ht="47.25" x14ac:dyDescent="0.25">
      <c r="A4" s="16" t="s">
        <v>27</v>
      </c>
      <c r="B4" s="16" t="s">
        <v>28</v>
      </c>
      <c r="C4" s="16" t="s">
        <v>29</v>
      </c>
      <c r="D4" s="16" t="s">
        <v>30</v>
      </c>
      <c r="E4" s="2" t="s">
        <v>31</v>
      </c>
      <c r="F4" s="2" t="s">
        <v>32</v>
      </c>
      <c r="G4" s="5" t="s">
        <v>41</v>
      </c>
      <c r="H4" s="2" t="s">
        <v>31</v>
      </c>
      <c r="I4" s="2" t="s">
        <v>32</v>
      </c>
      <c r="J4" s="5" t="s">
        <v>41</v>
      </c>
      <c r="K4" s="2" t="s">
        <v>31</v>
      </c>
      <c r="L4" s="2" t="s">
        <v>32</v>
      </c>
      <c r="M4" s="5" t="s">
        <v>41</v>
      </c>
      <c r="N4" s="23" t="s">
        <v>37</v>
      </c>
    </row>
    <row r="5" spans="1:14" x14ac:dyDescent="0.25">
      <c r="A5" s="15"/>
      <c r="B5" s="15"/>
      <c r="C5" s="15"/>
      <c r="D5" s="15"/>
      <c r="E5" s="20" t="s">
        <v>59</v>
      </c>
      <c r="F5" s="21"/>
      <c r="G5" s="22"/>
      <c r="H5" s="20" t="s">
        <v>60</v>
      </c>
      <c r="I5" s="21"/>
      <c r="J5" s="22"/>
      <c r="K5" s="20" t="s">
        <v>61</v>
      </c>
      <c r="L5" s="21"/>
      <c r="M5" s="22"/>
      <c r="N5" s="24"/>
    </row>
    <row r="6" spans="1:14" x14ac:dyDescent="0.25">
      <c r="A6" s="3" t="s">
        <v>0</v>
      </c>
      <c r="B6" s="4" t="s">
        <v>1</v>
      </c>
      <c r="C6" s="2" t="s">
        <v>34</v>
      </c>
      <c r="D6" s="16">
        <v>2470</v>
      </c>
      <c r="E6" s="13">
        <f>(206706+24+2800+3300)/4200*12</f>
        <v>608.08571428571429</v>
      </c>
      <c r="F6" s="13">
        <f>$D6-E6</f>
        <v>1861.9142857142856</v>
      </c>
      <c r="G6" s="16">
        <v>0</v>
      </c>
      <c r="H6" s="13">
        <f>230757/4200*12</f>
        <v>659.3057142857142</v>
      </c>
      <c r="I6" s="13">
        <f>$D6-H6</f>
        <v>1810.6942857142858</v>
      </c>
      <c r="J6" s="16">
        <v>0</v>
      </c>
      <c r="K6" s="13">
        <f>217179/4200*12</f>
        <v>620.5114285714285</v>
      </c>
      <c r="L6" s="13">
        <f>$D6-K6</f>
        <v>1849.4885714285715</v>
      </c>
      <c r="M6" s="16">
        <v>0</v>
      </c>
      <c r="N6" s="16" t="s">
        <v>40</v>
      </c>
    </row>
    <row r="7" spans="1:14" x14ac:dyDescent="0.25">
      <c r="A7" s="3" t="s">
        <v>2</v>
      </c>
      <c r="B7" s="4" t="s">
        <v>3</v>
      </c>
      <c r="C7" s="2" t="s">
        <v>35</v>
      </c>
      <c r="D7" s="17"/>
      <c r="E7" s="19"/>
      <c r="F7" s="17"/>
      <c r="G7" s="17"/>
      <c r="H7" s="19"/>
      <c r="I7" s="17"/>
      <c r="J7" s="17"/>
      <c r="K7" s="19"/>
      <c r="L7" s="17"/>
      <c r="M7" s="17"/>
      <c r="N7" s="17"/>
    </row>
    <row r="8" spans="1:14" x14ac:dyDescent="0.25">
      <c r="A8" s="3" t="s">
        <v>4</v>
      </c>
      <c r="B8" s="4" t="s">
        <v>5</v>
      </c>
      <c r="C8" s="2">
        <v>400</v>
      </c>
      <c r="D8" s="17"/>
      <c r="E8" s="19"/>
      <c r="F8" s="17"/>
      <c r="G8" s="17"/>
      <c r="H8" s="19"/>
      <c r="I8" s="17"/>
      <c r="J8" s="17"/>
      <c r="K8" s="19"/>
      <c r="L8" s="17"/>
      <c r="M8" s="17"/>
      <c r="N8" s="17"/>
    </row>
    <row r="9" spans="1:14" x14ac:dyDescent="0.25">
      <c r="A9" s="3" t="s">
        <v>6</v>
      </c>
      <c r="B9" s="4" t="s">
        <v>7</v>
      </c>
      <c r="C9" s="2">
        <v>320</v>
      </c>
      <c r="D9" s="17"/>
      <c r="E9" s="19"/>
      <c r="F9" s="17"/>
      <c r="G9" s="17"/>
      <c r="H9" s="19"/>
      <c r="I9" s="17"/>
      <c r="J9" s="17"/>
      <c r="K9" s="19"/>
      <c r="L9" s="17"/>
      <c r="M9" s="17"/>
      <c r="N9" s="17"/>
    </row>
    <row r="10" spans="1:14" x14ac:dyDescent="0.25">
      <c r="A10" s="3" t="s">
        <v>8</v>
      </c>
      <c r="B10" s="4" t="s">
        <v>9</v>
      </c>
      <c r="C10" s="2">
        <v>400</v>
      </c>
      <c r="D10" s="15"/>
      <c r="E10" s="14"/>
      <c r="F10" s="15"/>
      <c r="G10" s="15"/>
      <c r="H10" s="14"/>
      <c r="I10" s="15"/>
      <c r="J10" s="15"/>
      <c r="K10" s="14"/>
      <c r="L10" s="15"/>
      <c r="M10" s="15"/>
      <c r="N10" s="15"/>
    </row>
    <row r="11" spans="1:14" ht="47.25" x14ac:dyDescent="0.25">
      <c r="A11" s="3" t="s">
        <v>10</v>
      </c>
      <c r="B11" s="4" t="s">
        <v>11</v>
      </c>
      <c r="C11" s="2" t="s">
        <v>36</v>
      </c>
      <c r="D11" s="2">
        <v>1500</v>
      </c>
      <c r="E11" s="7">
        <f>74091/4200*12</f>
        <v>211.68857142857144</v>
      </c>
      <c r="F11" s="7">
        <f>$D11-E11</f>
        <v>1288.3114285714287</v>
      </c>
      <c r="G11" s="2">
        <v>0</v>
      </c>
      <c r="H11" s="7">
        <f>101192/4200*12</f>
        <v>289.12</v>
      </c>
      <c r="I11" s="7">
        <f>$D11-H11</f>
        <v>1210.8800000000001</v>
      </c>
      <c r="J11" s="2">
        <v>0</v>
      </c>
      <c r="K11" s="7">
        <f>109979/4200*12</f>
        <v>314.22571428571428</v>
      </c>
      <c r="L11" s="7">
        <f>$D11-K11</f>
        <v>1185.7742857142857</v>
      </c>
      <c r="M11" s="2">
        <v>0</v>
      </c>
      <c r="N11" s="2" t="s">
        <v>40</v>
      </c>
    </row>
    <row r="12" spans="1:14" x14ac:dyDescent="0.25">
      <c r="A12" s="3" t="s">
        <v>12</v>
      </c>
      <c r="B12" s="4" t="s">
        <v>13</v>
      </c>
      <c r="C12" s="2" t="s">
        <v>36</v>
      </c>
      <c r="D12" s="16">
        <v>1512</v>
      </c>
      <c r="E12" s="13">
        <f>(109055+446)/4200*12</f>
        <v>312.86</v>
      </c>
      <c r="F12" s="13">
        <f>$D12-E12</f>
        <v>1199.1399999999999</v>
      </c>
      <c r="G12" s="16">
        <v>0</v>
      </c>
      <c r="H12" s="13">
        <f>105649/4200*12</f>
        <v>301.85428571428571</v>
      </c>
      <c r="I12" s="13">
        <f>$D12-H12</f>
        <v>1210.1457142857143</v>
      </c>
      <c r="J12" s="16">
        <v>0</v>
      </c>
      <c r="K12" s="13">
        <f>105585/4200*12</f>
        <v>301.67142857142858</v>
      </c>
      <c r="L12" s="13">
        <f>$D12-K12</f>
        <v>1210.3285714285714</v>
      </c>
      <c r="M12" s="16">
        <v>0</v>
      </c>
      <c r="N12" s="16" t="s">
        <v>40</v>
      </c>
    </row>
    <row r="13" spans="1:14" x14ac:dyDescent="0.25">
      <c r="A13" s="3" t="s">
        <v>14</v>
      </c>
      <c r="B13" s="4" t="s">
        <v>15</v>
      </c>
      <c r="C13" s="2" t="s">
        <v>36</v>
      </c>
      <c r="D13" s="15"/>
      <c r="E13" s="14"/>
      <c r="F13" s="15"/>
      <c r="G13" s="15"/>
      <c r="H13" s="14"/>
      <c r="I13" s="15"/>
      <c r="J13" s="15"/>
      <c r="K13" s="14"/>
      <c r="L13" s="15"/>
      <c r="M13" s="15"/>
      <c r="N13" s="15"/>
    </row>
    <row r="14" spans="1:14" ht="47.25" x14ac:dyDescent="0.25">
      <c r="A14" s="3" t="s">
        <v>16</v>
      </c>
      <c r="B14" s="6" t="s">
        <v>17</v>
      </c>
      <c r="C14" s="2" t="s">
        <v>36</v>
      </c>
      <c r="D14" s="2">
        <v>450</v>
      </c>
      <c r="E14" s="7">
        <f>219869/8760*12</f>
        <v>301.19041095890407</v>
      </c>
      <c r="F14" s="7">
        <f t="shared" ref="F14:F19" si="0">$D14-E14</f>
        <v>148.80958904109593</v>
      </c>
      <c r="G14" s="2">
        <v>0</v>
      </c>
      <c r="H14" s="7">
        <f>215198/8670*12</f>
        <v>297.85190311418683</v>
      </c>
      <c r="I14" s="7">
        <f t="shared" ref="I14:I19" si="1">$D14-H14</f>
        <v>152.14809688581317</v>
      </c>
      <c r="J14" s="2">
        <v>0</v>
      </c>
      <c r="K14" s="7">
        <f>215464/8670*12</f>
        <v>298.22006920415225</v>
      </c>
      <c r="L14" s="7">
        <f t="shared" ref="L14:L19" si="2">$D14-K14</f>
        <v>151.77993079584775</v>
      </c>
      <c r="M14" s="2">
        <v>0</v>
      </c>
      <c r="N14" s="2" t="s">
        <v>40</v>
      </c>
    </row>
    <row r="15" spans="1:14" ht="47.25" x14ac:dyDescent="0.25">
      <c r="A15" s="3">
        <v>10</v>
      </c>
      <c r="B15" s="6" t="s">
        <v>22</v>
      </c>
      <c r="C15" s="2">
        <v>400</v>
      </c>
      <c r="D15" s="2">
        <v>250</v>
      </c>
      <c r="E15" s="7">
        <f>4681/4200*12</f>
        <v>13.374285714285714</v>
      </c>
      <c r="F15" s="7">
        <f t="shared" si="0"/>
        <v>236.62571428571428</v>
      </c>
      <c r="G15" s="2">
        <v>0</v>
      </c>
      <c r="H15" s="7">
        <f>4447/4200*12</f>
        <v>12.705714285714286</v>
      </c>
      <c r="I15" s="7">
        <f t="shared" si="1"/>
        <v>237.29428571428571</v>
      </c>
      <c r="J15" s="2">
        <v>0</v>
      </c>
      <c r="K15" s="7">
        <f>2809/4200*12</f>
        <v>8.0257142857142867</v>
      </c>
      <c r="L15" s="7">
        <f t="shared" si="2"/>
        <v>241.97428571428571</v>
      </c>
      <c r="M15" s="2">
        <v>0</v>
      </c>
      <c r="N15" s="2" t="s">
        <v>40</v>
      </c>
    </row>
    <row r="16" spans="1:14" ht="47.25" x14ac:dyDescent="0.25">
      <c r="A16" s="3">
        <v>11</v>
      </c>
      <c r="B16" s="6" t="s">
        <v>24</v>
      </c>
      <c r="C16" s="2">
        <v>400</v>
      </c>
      <c r="D16" s="2">
        <v>39.1</v>
      </c>
      <c r="E16" s="7">
        <f>5200/4200*12</f>
        <v>14.857142857142858</v>
      </c>
      <c r="F16" s="7">
        <f t="shared" si="0"/>
        <v>24.242857142857144</v>
      </c>
      <c r="G16" s="2">
        <v>199</v>
      </c>
      <c r="H16" s="7">
        <f>12640/4200*12</f>
        <v>36.114285714285714</v>
      </c>
      <c r="I16" s="7">
        <f t="shared" si="1"/>
        <v>2.9857142857142875</v>
      </c>
      <c r="J16" s="2">
        <v>199</v>
      </c>
      <c r="K16" s="7">
        <f>13120/4200*12</f>
        <v>37.485714285714288</v>
      </c>
      <c r="L16" s="7">
        <f t="shared" si="2"/>
        <v>1.6142857142857139</v>
      </c>
      <c r="M16" s="2">
        <v>199</v>
      </c>
      <c r="N16" s="2" t="s">
        <v>40</v>
      </c>
    </row>
    <row r="17" spans="1:14" ht="47.25" x14ac:dyDescent="0.25">
      <c r="A17" s="3">
        <v>12</v>
      </c>
      <c r="B17" s="6" t="s">
        <v>26</v>
      </c>
      <c r="C17" s="2">
        <v>630</v>
      </c>
      <c r="D17" s="2">
        <v>500</v>
      </c>
      <c r="E17" s="7">
        <f>161139/8760*12</f>
        <v>220.73835616438356</v>
      </c>
      <c r="F17" s="7">
        <f t="shared" si="0"/>
        <v>279.26164383561644</v>
      </c>
      <c r="G17" s="2">
        <v>0</v>
      </c>
      <c r="H17" s="7">
        <f>196692/8760*12</f>
        <v>269.44109589041096</v>
      </c>
      <c r="I17" s="7">
        <f t="shared" si="1"/>
        <v>230.55890410958904</v>
      </c>
      <c r="J17" s="2">
        <v>0</v>
      </c>
      <c r="K17" s="7">
        <f>252049/8760*12</f>
        <v>345.27260273972604</v>
      </c>
      <c r="L17" s="7">
        <f t="shared" si="2"/>
        <v>154.72739726027396</v>
      </c>
      <c r="M17" s="2">
        <v>0</v>
      </c>
      <c r="N17" s="2" t="s">
        <v>40</v>
      </c>
    </row>
    <row r="18" spans="1:14" ht="47.25" x14ac:dyDescent="0.25">
      <c r="A18" s="3">
        <v>13</v>
      </c>
      <c r="B18" s="6" t="s">
        <v>38</v>
      </c>
      <c r="C18" s="2" t="s">
        <v>39</v>
      </c>
      <c r="D18" s="2">
        <v>900</v>
      </c>
      <c r="E18" s="7">
        <f>(18424+2511)/4200*12</f>
        <v>59.81428571428571</v>
      </c>
      <c r="F18" s="7">
        <f t="shared" si="0"/>
        <v>840.18571428571431</v>
      </c>
      <c r="G18" s="7">
        <v>0</v>
      </c>
      <c r="H18" s="7">
        <f>42869/4200*12</f>
        <v>122.48285714285714</v>
      </c>
      <c r="I18" s="7">
        <f t="shared" si="1"/>
        <v>777.51714285714286</v>
      </c>
      <c r="J18" s="7">
        <v>0</v>
      </c>
      <c r="K18" s="7">
        <f>19374/4200*12</f>
        <v>55.354285714285716</v>
      </c>
      <c r="L18" s="7">
        <f t="shared" si="2"/>
        <v>844.64571428571423</v>
      </c>
      <c r="M18" s="2">
        <v>0</v>
      </c>
      <c r="N18" s="2" t="s">
        <v>40</v>
      </c>
    </row>
    <row r="19" spans="1:14" ht="47.25" x14ac:dyDescent="0.25">
      <c r="A19" s="3">
        <v>14</v>
      </c>
      <c r="B19" s="6" t="s">
        <v>54</v>
      </c>
      <c r="C19" s="2" t="s">
        <v>55</v>
      </c>
      <c r="D19" s="2">
        <v>400</v>
      </c>
      <c r="E19" s="7">
        <f>(15834+1504+2010+4741)/4200*12</f>
        <v>68.825714285714284</v>
      </c>
      <c r="F19" s="7">
        <f t="shared" si="0"/>
        <v>331.1742857142857</v>
      </c>
      <c r="G19" s="7">
        <v>0</v>
      </c>
      <c r="H19" s="7">
        <f>25249/4200*12</f>
        <v>72.14</v>
      </c>
      <c r="I19" s="7">
        <f t="shared" si="1"/>
        <v>327.86</v>
      </c>
      <c r="J19" s="7">
        <v>0</v>
      </c>
      <c r="K19" s="7">
        <f>33155/4200*12</f>
        <v>94.728571428571428</v>
      </c>
      <c r="L19" s="7">
        <f t="shared" si="2"/>
        <v>305.2714285714286</v>
      </c>
      <c r="M19" s="2">
        <v>0</v>
      </c>
      <c r="N19" s="2" t="s">
        <v>40</v>
      </c>
    </row>
  </sheetData>
  <mergeCells count="32">
    <mergeCell ref="I12:I13"/>
    <mergeCell ref="J12:J13"/>
    <mergeCell ref="K12:K13"/>
    <mergeCell ref="L12:L13"/>
    <mergeCell ref="M12:M13"/>
    <mergeCell ref="N12:N13"/>
    <mergeCell ref="J6:J10"/>
    <mergeCell ref="K6:K10"/>
    <mergeCell ref="L6:L10"/>
    <mergeCell ref="M6:M10"/>
    <mergeCell ref="N6:N10"/>
    <mergeCell ref="D12:D13"/>
    <mergeCell ref="E12:E13"/>
    <mergeCell ref="F12:F13"/>
    <mergeCell ref="G12:G13"/>
    <mergeCell ref="H12:H13"/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кв.</vt:lpstr>
      <vt:lpstr>2 кв.</vt:lpstr>
      <vt:lpstr>3 кв.</vt:lpstr>
      <vt:lpstr>4 кв.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muratova</cp:lastModifiedBy>
  <dcterms:created xsi:type="dcterms:W3CDTF">2016-02-25T15:45:55Z</dcterms:created>
  <dcterms:modified xsi:type="dcterms:W3CDTF">2017-02-28T12:35:38Z</dcterms:modified>
</cp:coreProperties>
</file>